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table+xml" PartName="/xl/tables/table5.xml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table+xml" PartName="/xl/tables/table7.xml"/>
  <Override ContentType="application/vnd.openxmlformats-officedocument.spreadsheetml.table+xml" PartName="/xl/tables/table6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ms-excel.person+xml" PartName="/xl/persons/person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drawingml.chart+xml" PartName="/xl/charts/chart10.xml"/>
  <Override ContentType="application/vnd.openxmlformats-officedocument.drawingml.chart+xml" PartName="/xl/charts/chart6.xml"/>
  <Override ContentType="application/vnd.openxmlformats-officedocument.drawingml.chart+xml" PartName="/xl/charts/chart7.xml"/>
  <Override ContentType="application/vnd.openxmlformats-officedocument.drawingml.chart+xml" PartName="/xl/charts/chart8.xml"/>
  <Override ContentType="application/vnd.openxmlformats-officedocument.drawingml.chart+xml" PartName="/xl/charts/chart4.xml"/>
  <Override ContentType="application/vnd.openxmlformats-officedocument.drawingml.chart+xml" PartName="/xl/charts/chart9.xml"/>
  <Override ContentType="application/vnd.openxmlformats-officedocument.drawingml.chart+xml" PartName="/xl/charts/chart5.xml"/>
  <Override ContentType="application/vnd.openxmlformats-officedocument.drawingml.chart+xml" PartName="/xl/charts/chart3.xml"/>
  <Override ContentType="application/vnd.openxmlformats-officedocument.drawingml.chart+xml" PartName="/xl/charts/chart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TEP 0" sheetId="1" r:id="rId5"/>
    <sheet state="visible" name="STEP 0.5" sheetId="2" r:id="rId6"/>
    <sheet state="visible" name="STEP 1" sheetId="3" r:id="rId7"/>
    <sheet state="visible" name="STEP 2" sheetId="4" r:id="rId8"/>
    <sheet state="visible" name="STEP 3" sheetId="5" r:id="rId9"/>
    <sheet state="visible" name="STEP 3 for each FIN" sheetId="6" r:id="rId10"/>
    <sheet state="visible" name="FIN SHOPPING" sheetId="7" r:id="rId11"/>
    <sheet state="visible" name="STEP 4" sheetId="8" r:id="rId12"/>
    <sheet state="visible" name="Motor Calculations" sheetId="9" r:id="rId13"/>
    <sheet state="visible" name="Pressure Drop Calcs" sheetId="10" r:id="rId14"/>
    <sheet state="visible" name="Fin Efficiency" sheetId="11" r:id="rId15"/>
    <sheet state="visible" name="Backup of Step 3" sheetId="12" r:id="rId16"/>
    <sheet state="visible" name="XX" sheetId="13" r:id="rId17"/>
  </sheets>
  <definedNames>
    <definedName name="kin_vis_air">'STEP 0'!$C$17</definedName>
    <definedName name="m_per_in">'STEP 0'!$F$30</definedName>
    <definedName name="Latent_ice">'STEP 0'!$F$8</definedName>
    <definedName name="k_air">'STEP 0'!$C$20</definedName>
    <definedName name="Q_load_can">'STEP 1'!$F$12</definedName>
    <definedName name="cp_wat">'STEP 0'!$C$6</definedName>
    <definedName localSheetId="5" name="Area_block">'STEP 3 for each FIN'!$C$11</definedName>
    <definedName name="Q_dot_walls">'STEP 1'!$B$42</definedName>
    <definedName name="T_R_K">'STEP 0'!$F$21</definedName>
    <definedName name="cp_ice">'STEP 0'!$F$6</definedName>
    <definedName name="T_surf">'STEP 0'!$F$17</definedName>
    <definedName name="Pass_Cool_duration">'STEP 0'!$J$18</definedName>
    <definedName name="dens_ice">'STEP 0'!$F$7</definedName>
    <definedName localSheetId="5" name="Length_block">'STEP 3 for each FIN'!$C$9</definedName>
    <definedName name="cp_air">'STEP 0'!$C$14</definedName>
    <definedName name="R_air">'STEP 0'!$C$15</definedName>
    <definedName name="dens_air">'STEP 1'!$F$17</definedName>
    <definedName name="Length_block">'STEP 3'!$C$8</definedName>
    <definedName name="A_1">XX!$C$9</definedName>
    <definedName name="T_inlet">'STEP 0'!$F$16</definedName>
    <definedName name="T_freeze_K">'STEP 0'!$F$20</definedName>
    <definedName name="kWh_per_kJ">'STEP 0'!$F$35</definedName>
    <definedName name="P_atm">'STEP 0'!$C$16</definedName>
    <definedName name="dens_wat">'STEP 0'!$C$7</definedName>
    <definedName name="k_ice">'STEP 0'!$F$9</definedName>
    <definedName localSheetId="5" name="Depth_block">'STEP 3 for each FIN'!$C$10</definedName>
    <definedName name="Avg_passive_cooling_load">'STEP 2'!$J$5</definedName>
    <definedName localSheetId="11" name="Depth_block">#REF!</definedName>
    <definedName name="lamb_1">XX!$C$8</definedName>
    <definedName name="k_alum">'STEP 0'!$C$27</definedName>
    <definedName name="Area_block">'STEP 3'!$C$10</definedName>
    <definedName name="T_amb">'STEP 0'!$F$14</definedName>
    <definedName name="T_R">'STEP 0'!$F$15</definedName>
    <definedName name="inH20_per_Pa">'STEP 0'!$F$34</definedName>
    <definedName name="mcube_per_cfm">'STEP 0'!$F$33</definedName>
    <definedName name="T_i">XX!$C$11</definedName>
    <definedName localSheetId="11" name="Length_block">'Backup of Step 3'!$C$8</definedName>
    <definedName localSheetId="11" name="Area_block">'Backup of Step 3'!$C$10</definedName>
    <definedName name="T_outlet">XX!$C$13</definedName>
    <definedName name="Depth_block">#REF!</definedName>
    <definedName name="Pr">'STEP 0'!$C$19</definedName>
  </definedNames>
  <calcPr/>
</workbook>
</file>

<file path=xl/sharedStrings.xml><?xml version="1.0" encoding="utf-8"?>
<sst xmlns="http://schemas.openxmlformats.org/spreadsheetml/2006/main" count="837" uniqueCount="432">
  <si>
    <t>STEP 0: Properties and Assumptions</t>
  </si>
  <si>
    <t>Water Properties</t>
  </si>
  <si>
    <t>Ice Properties</t>
  </si>
  <si>
    <t>Rate Schedule</t>
  </si>
  <si>
    <t>Description</t>
  </si>
  <si>
    <t>Value</t>
  </si>
  <si>
    <t>Variable</t>
  </si>
  <si>
    <t>Cost of electricity during peak ($/kWh)</t>
  </si>
  <si>
    <t>Summer</t>
  </si>
  <si>
    <r>
      <rPr>
        <rFont val="Arial"/>
        <color theme="1"/>
      </rPr>
      <t xml:space="preserve">Specific heat of water </t>
    </r>
    <r>
      <rPr>
        <rFont val="Arial"/>
        <color rgb="FF0000FF"/>
      </rPr>
      <t>(kJ/kgC)</t>
    </r>
  </si>
  <si>
    <t>cp_wat</t>
  </si>
  <si>
    <t>Specific heat of ice (KJ/kgC)</t>
  </si>
  <si>
    <t>cp_ice</t>
  </si>
  <si>
    <t>Cost of electricity during off peak ($/kWh)</t>
  </si>
  <si>
    <r>
      <rPr>
        <rFont val="Arial"/>
        <color theme="1"/>
      </rPr>
      <t xml:space="preserve">Density of water at 20 C </t>
    </r>
    <r>
      <rPr>
        <rFont val="Arial"/>
        <color rgb="FF0000FF"/>
      </rPr>
      <t>(kg/m^3)</t>
    </r>
  </si>
  <si>
    <t>dens_wat</t>
  </si>
  <si>
    <t>Density of Ice (kg/m^3)</t>
  </si>
  <si>
    <t>dens_ice</t>
  </si>
  <si>
    <t>Cost of electricity saving during passing ($/kWh)</t>
  </si>
  <si>
    <t>Latent heat of fusion (kJ/kg)</t>
  </si>
  <si>
    <t>Latent_ice</t>
  </si>
  <si>
    <t>Winter</t>
  </si>
  <si>
    <t>Thermal conductivity of ice (W/mK)</t>
  </si>
  <si>
    <t>k_ice</t>
  </si>
  <si>
    <t>Air properties</t>
  </si>
  <si>
    <t>Temperatures</t>
  </si>
  <si>
    <t>Average electrity cost off peak</t>
  </si>
  <si>
    <t>Average electricity cost peak</t>
  </si>
  <si>
    <r>
      <rPr>
        <rFont val="Arial"/>
        <color theme="1"/>
      </rPr>
      <t xml:space="preserve">Specific heat of air </t>
    </r>
    <r>
      <rPr>
        <rFont val="Arial"/>
        <color rgb="FF0000FF"/>
      </rPr>
      <t>(KJ/kgC)</t>
    </r>
  </si>
  <si>
    <t>cp_air</t>
  </si>
  <si>
    <t>Room ambient temperature (C)</t>
  </si>
  <si>
    <t>T_amb</t>
  </si>
  <si>
    <r>
      <rPr>
        <rFont val="Arial"/>
        <color theme="1"/>
      </rPr>
      <t xml:space="preserve">R value of air </t>
    </r>
    <r>
      <rPr>
        <rFont val="Arial"/>
        <color rgb="FF0000FF"/>
      </rPr>
      <t>(kJ/kg)</t>
    </r>
  </si>
  <si>
    <t>R_air</t>
  </si>
  <si>
    <t>Refrigeration temperature (C)</t>
  </si>
  <si>
    <t>T_R</t>
  </si>
  <si>
    <t>Passive cooling starts at (time)</t>
  </si>
  <si>
    <t>Atmospheric pressure (Pa)</t>
  </si>
  <si>
    <t>P_atm</t>
  </si>
  <si>
    <t>Entering air temperature (C)</t>
  </si>
  <si>
    <t>T_inlet</t>
  </si>
  <si>
    <t>Passive cooling ends at (time)</t>
  </si>
  <si>
    <t>Kinematic Viscosity - v (m^2/s)</t>
  </si>
  <si>
    <t>kin_vis_air</t>
  </si>
  <si>
    <t>Ice Surface Temp (C)</t>
  </si>
  <si>
    <t>T_surf</t>
  </si>
  <si>
    <t>Passive cooling duration (hours)</t>
  </si>
  <si>
    <t>Dynamic Viscosity - mu - (Ns/m^2)</t>
  </si>
  <si>
    <t>dyn_vis_air</t>
  </si>
  <si>
    <t>Passive cooling duration (seconds)</t>
  </si>
  <si>
    <t>Pass_Cool_duration</t>
  </si>
  <si>
    <t>Prandtl</t>
  </si>
  <si>
    <t>Pr</t>
  </si>
  <si>
    <t>IN KELVIN</t>
  </si>
  <si>
    <t>Thermal conductivity of air (W/mk)</t>
  </si>
  <si>
    <t>k_air</t>
  </si>
  <si>
    <t>Freezer Temperature (K)</t>
  </si>
  <si>
    <t>T_freeze_K</t>
  </si>
  <si>
    <t>Refrigeration temperature (K)</t>
  </si>
  <si>
    <t>T_R_K</t>
  </si>
  <si>
    <t xml:space="preserve">   </t>
  </si>
  <si>
    <t>Other</t>
  </si>
  <si>
    <t>Conversion</t>
  </si>
  <si>
    <t>Aluminum thermal conductivity (W/mK)</t>
  </si>
  <si>
    <t>k_alum</t>
  </si>
  <si>
    <t>Seconds per hour</t>
  </si>
  <si>
    <t>meters per inch</t>
  </si>
  <si>
    <t>m_per_in</t>
  </si>
  <si>
    <t>Conversion (m^3/oz)</t>
  </si>
  <si>
    <t>Conversion (m^3/s per cfm)</t>
  </si>
  <si>
    <t>mcube_per_cfm</t>
  </si>
  <si>
    <t>Conversion (in water per pascal)</t>
  </si>
  <si>
    <t>inH20_per_Pa</t>
  </si>
  <si>
    <t>Conversion (kWh per kJ)</t>
  </si>
  <si>
    <t>kWh_per_kJ</t>
  </si>
  <si>
    <t>STEP 0.5: What are the expected temperatures/flow rates for a regular refrigerator with active cycle</t>
  </si>
  <si>
    <t>Freezer Inlet (C)</t>
  </si>
  <si>
    <t>CHAT GPT (FIND SOURCES TO SUPPORT)</t>
  </si>
  <si>
    <t>Refrigerator Inlet (C)</t>
  </si>
  <si>
    <t>RESEARCH PAPER</t>
  </si>
  <si>
    <t>LINK TO PDF</t>
  </si>
  <si>
    <t>Inlet velocity (m/s)</t>
  </si>
  <si>
    <t>Assumed Inlet diamter (m)</t>
  </si>
  <si>
    <t>Inlet area (m^2)</t>
  </si>
  <si>
    <t>Circulation cfm</t>
  </si>
  <si>
    <t>Rule of thumb air changes per minute</t>
  </si>
  <si>
    <t>Airchange/min</t>
  </si>
  <si>
    <t>Volume of our mini fridge (m^3)</t>
  </si>
  <si>
    <t>Volumetric flow (m^3/s)</t>
  </si>
  <si>
    <t>STEP 1: Preliminary Calculations</t>
  </si>
  <si>
    <t>Surface area calculation</t>
  </si>
  <si>
    <t>Surface Area Outer Shell</t>
  </si>
  <si>
    <t>How much kJ Cooling Load per can of water</t>
  </si>
  <si>
    <t>Height (in)</t>
  </si>
  <si>
    <t>Volume per can (oz)</t>
  </si>
  <si>
    <t>Depth (in)</t>
  </si>
  <si>
    <t>Volume of water per can (m^3)</t>
  </si>
  <si>
    <t>Width (in)</t>
  </si>
  <si>
    <t>Mass of water per can (kg)</t>
  </si>
  <si>
    <t>Height (m)</t>
  </si>
  <si>
    <t>Cooling load per can (kJ)</t>
  </si>
  <si>
    <t>Q_load_can</t>
  </si>
  <si>
    <t>Q = m x cp_w x (Trefrigeration - T ambient)</t>
  </si>
  <si>
    <t>Depth (m)</t>
  </si>
  <si>
    <t>Width (m)</t>
  </si>
  <si>
    <t>Sides area (m^2)</t>
  </si>
  <si>
    <t>Height x Depth</t>
  </si>
  <si>
    <t>Density and dynamic viscosity] of air in freezer chamber</t>
  </si>
  <si>
    <t>Top area (m^2)</t>
  </si>
  <si>
    <t>Width x Depth</t>
  </si>
  <si>
    <t>Average refrigeration temp (K)</t>
  </si>
  <si>
    <t>Front/back area (m^2)</t>
  </si>
  <si>
    <t>Height x Width</t>
  </si>
  <si>
    <t>Density of air  (kg/m^3)</t>
  </si>
  <si>
    <t>dens_air</t>
  </si>
  <si>
    <t>Total Outer surface area (m^2)</t>
  </si>
  <si>
    <t>2*Side + 2*Back/front + Top</t>
  </si>
  <si>
    <t>Dynamic viscosity of air (kg/m*s)</t>
  </si>
  <si>
    <t>Surface Area Inner Shell</t>
  </si>
  <si>
    <t>Length (in)</t>
  </si>
  <si>
    <t>Length (m)</t>
  </si>
  <si>
    <t>area</t>
  </si>
  <si>
    <t>area (m^2)</t>
  </si>
  <si>
    <t>Temperature at top of fins</t>
  </si>
  <si>
    <t>Total Inner Surface Area</t>
  </si>
  <si>
    <t>Heat transfer through walls calculation</t>
  </si>
  <si>
    <t>Insulation thickness - L (m)</t>
  </si>
  <si>
    <t>Estimated k value (W/mC)</t>
  </si>
  <si>
    <t>Interior h value (W/m^2C)</t>
  </si>
  <si>
    <t>Exterior h value (W/m^2C)</t>
  </si>
  <si>
    <t>Rconv, interior air</t>
  </si>
  <si>
    <t>R conv = 1/(h x Ainner)</t>
  </si>
  <si>
    <t>Rcond, insulation</t>
  </si>
  <si>
    <t>R cond = L/(k x Aouter)</t>
  </si>
  <si>
    <t>Rconv, exterior air</t>
  </si>
  <si>
    <t>R conv = 1/(h x Aouter)</t>
  </si>
  <si>
    <t>Rtotal</t>
  </si>
  <si>
    <t>Q_dot (W)</t>
  </si>
  <si>
    <t>Q = (Trefrigerator -T ambient)/Rtotal</t>
  </si>
  <si>
    <t>Q_dot (kW)</t>
  </si>
  <si>
    <t>Variable: Q_dot_walls</t>
  </si>
  <si>
    <t>STEP 2: Determine Required Ice volume and Total Cooling Load during Passive Period</t>
  </si>
  <si>
    <t>Time of Day</t>
  </si>
  <si>
    <t>Heat transfer through refrigerator walls</t>
  </si>
  <si>
    <t>Grocery Load (cans)</t>
  </si>
  <si>
    <t>Grocery Load (kJ)</t>
  </si>
  <si>
    <t>Total Load per every 15 minutes (kJ)</t>
  </si>
  <si>
    <t>Instantaneous Load (kW)</t>
  </si>
  <si>
    <t>Average Load during passive cooling period (kW)</t>
  </si>
  <si>
    <t>IMPORTANT OUTCOMES FROM STEP 2</t>
  </si>
  <si>
    <t>Sum of Load during passive cooling period (kJ)</t>
  </si>
  <si>
    <t>Average load during passive cooling period (kW)</t>
  </si>
  <si>
    <t>Avg_passive_cooling_load</t>
  </si>
  <si>
    <t>Maximum load during passive cooling period (kW)</t>
  </si>
  <si>
    <t>Volume of Ice calculation</t>
  </si>
  <si>
    <t>Mass of Ice required for load (kg)</t>
  </si>
  <si>
    <t>m = Q/L</t>
  </si>
  <si>
    <t>Volume of Ice required (m^3)</t>
  </si>
  <si>
    <t>Volume of Ice Required (in^3)</t>
  </si>
  <si>
    <t>Cost Savings Calculations</t>
  </si>
  <si>
    <t>Sum of load during passive cooling period (kWh)</t>
  </si>
  <si>
    <t>Annual sum of load during passive cooling period (kWh)</t>
  </si>
  <si>
    <t>Annual cost if use peak pricing ($)</t>
  </si>
  <si>
    <t>Annual cost if use off peak pricing ($)</t>
  </si>
  <si>
    <t>Annual cost savings ($)</t>
  </si>
  <si>
    <t>Annual cost savings considering fan energy cost ($)</t>
  </si>
  <si>
    <t>Annual cost of operating passive cooling fan ($)</t>
  </si>
  <si>
    <r>
      <rPr>
        <rFont val="Arial"/>
        <b/>
        <color theme="1"/>
        <sz val="13.0"/>
      </rPr>
      <t xml:space="preserve">STEP 3: Determine </t>
    </r>
    <r>
      <rPr>
        <rFont val="Arial"/>
        <b/>
        <color rgb="FFFF0000"/>
        <sz val="13.0"/>
      </rPr>
      <t>AVERAGE</t>
    </r>
    <r>
      <rPr>
        <rFont val="Arial"/>
        <b/>
        <color theme="1"/>
        <sz val="13.0"/>
      </rPr>
      <t xml:space="preserve"> Fan CFM and resulting output temperature based on surface area</t>
    </r>
  </si>
  <si>
    <t>With FINS</t>
  </si>
  <si>
    <t>Size of ice block calculations</t>
  </si>
  <si>
    <t>Length of block (in)</t>
  </si>
  <si>
    <t>Depth of block (in)</t>
  </si>
  <si>
    <t>Length of block (m)</t>
  </si>
  <si>
    <t>Length_block</t>
  </si>
  <si>
    <t>Depth of block (m)</t>
  </si>
  <si>
    <t>Depth_block</t>
  </si>
  <si>
    <t>Equations to use for External flow over a flat parallel plate (NO FINS ONLY)</t>
  </si>
  <si>
    <t>Area of block (m^2)</t>
  </si>
  <si>
    <t>Area_block</t>
  </si>
  <si>
    <t>Height of block (m)</t>
  </si>
  <si>
    <t>Height of block (in)</t>
  </si>
  <si>
    <t>Equation to use for constant surface temperature</t>
  </si>
  <si>
    <t>NO FINS - Multuiple LAYER OF ICE</t>
  </si>
  <si>
    <t>Height of gap (in)</t>
  </si>
  <si>
    <t>Height of gap (m)</t>
  </si>
  <si>
    <t>Layers of ice</t>
  </si>
  <si>
    <t>Cross sectional area (m^2)</t>
  </si>
  <si>
    <t>Total surface area (m^2)</t>
  </si>
  <si>
    <t>volumetric flow (CFM)</t>
  </si>
  <si>
    <t>Volumetric Flow (m^3/s)</t>
  </si>
  <si>
    <t>Flow rate (CFM)</t>
  </si>
  <si>
    <t>Provided Outlet Temperature (C)</t>
  </si>
  <si>
    <t>Required Outlet Temperature (C)</t>
  </si>
  <si>
    <t>Mass flow (kg/s)</t>
  </si>
  <si>
    <t>Air velocity (m/s)</t>
  </si>
  <si>
    <t>Reynolds number ReL</t>
  </si>
  <si>
    <t>Flow condition</t>
  </si>
  <si>
    <t>Nusselt number</t>
  </si>
  <si>
    <t>Heat transfer Coefficient (W/m^2C)</t>
  </si>
  <si>
    <t>Temperature Difference</t>
  </si>
  <si>
    <t>NOTE: CONVERGES WHEN TEMP DIFFERENCE CLOSE TO 0</t>
  </si>
  <si>
    <t>DEVELOPING OR DEVELOPED</t>
  </si>
  <si>
    <t>Calculating Nusselt Number based on flow conditions</t>
  </si>
  <si>
    <t>Table 8-1 (Nusselt number for Laminar, Developed Flow</t>
  </si>
  <si>
    <t>If the total length is greater than the entry length, the flow is developed</t>
  </si>
  <si>
    <t>Extrapolation</t>
  </si>
  <si>
    <t>If the total length is less than the entry length, the flow is developing</t>
  </si>
  <si>
    <t>a/b</t>
  </si>
  <si>
    <t>Ts = const</t>
  </si>
  <si>
    <t>WITH FINS - ONE LAYER OF ICE</t>
  </si>
  <si>
    <t>Height of fins (in)</t>
  </si>
  <si>
    <t>Fin thickness (in)</t>
  </si>
  <si>
    <t>Total Mass flow (kg/s)</t>
  </si>
  <si>
    <t>Fin spacing (in)</t>
  </si>
  <si>
    <t>Volumetric flow PER FIN (m^3/s)</t>
  </si>
  <si>
    <t>Height of fins (m)</t>
  </si>
  <si>
    <t>Mass flow PER FIN (kg/s)</t>
  </si>
  <si>
    <t>Fin thickness (m)</t>
  </si>
  <si>
    <t>Fin spacing (m)</t>
  </si>
  <si>
    <t>Reynolds number</t>
  </si>
  <si>
    <t>Number of fins</t>
  </si>
  <si>
    <t>a/b (spacing/height)</t>
  </si>
  <si>
    <t>Entry Length</t>
  </si>
  <si>
    <t>Developed?</t>
  </si>
  <si>
    <t>Cross sectional area PER FIN (m^2)</t>
  </si>
  <si>
    <t>Nusselt Number</t>
  </si>
  <si>
    <t>Channel Perimeter PER FIN (m)</t>
  </si>
  <si>
    <t>Hydraulid diamter (m)</t>
  </si>
  <si>
    <t>m (for fin effiency)</t>
  </si>
  <si>
    <t>fin effiency</t>
  </si>
  <si>
    <t>Delta T1 (Tbase-Tin)</t>
  </si>
  <si>
    <t>Delta T2 (Tout - Tsurf)</t>
  </si>
  <si>
    <t>Delta T LMTD</t>
  </si>
  <si>
    <t>Qfin, actual (W)</t>
  </si>
  <si>
    <t>Qdot Difference</t>
  </si>
  <si>
    <r>
      <rPr>
        <rFont val="Arial"/>
        <b/>
        <color theme="1"/>
        <sz val="13.0"/>
      </rPr>
      <t xml:space="preserve">STEP 3: Determine </t>
    </r>
    <r>
      <rPr>
        <rFont val="Arial"/>
        <b/>
        <color rgb="FFFF0000"/>
        <sz val="13.0"/>
      </rPr>
      <t>AVERAGE</t>
    </r>
    <r>
      <rPr>
        <rFont val="Arial"/>
        <b/>
        <color theme="1"/>
        <sz val="13.0"/>
      </rPr>
      <t xml:space="preserve"> Fan CFM and resulting output temperature based on surface area</t>
    </r>
  </si>
  <si>
    <t>Length and Depth of Fin</t>
  </si>
  <si>
    <t>Length variable?</t>
  </si>
  <si>
    <t>Yes</t>
  </si>
  <si>
    <t>Length range</t>
  </si>
  <si>
    <t>1 - 45 in</t>
  </si>
  <si>
    <t>Fin Parameters</t>
  </si>
  <si>
    <t>Hydraulic diamter (m)</t>
  </si>
  <si>
    <t>Delta T1 (Tin - Tbase)</t>
  </si>
  <si>
    <t>Delta T2 (Tout - Tbase)</t>
  </si>
  <si>
    <t>Other links could look into further</t>
  </si>
  <si>
    <t>Link to Aluminum Piping</t>
  </si>
  <si>
    <t>https://thermocoolcorp.com/product/tcp7515/</t>
  </si>
  <si>
    <t>https://www.metalsdepot.com/aluminum-products/aluminum-rectangle-tube</t>
  </si>
  <si>
    <t>CALCULATIONS AND SPECS</t>
  </si>
  <si>
    <t>GRAPH RESULTS</t>
  </si>
  <si>
    <t>Option 1</t>
  </si>
  <si>
    <t>HeatsinkOnline</t>
  </si>
  <si>
    <t>Layers of Ice</t>
  </si>
  <si>
    <t>CFM</t>
  </si>
  <si>
    <t>Total Height (in)</t>
  </si>
  <si>
    <t>Total Cost</t>
  </si>
  <si>
    <t>Link to store</t>
  </si>
  <si>
    <t>https://heatsinkonline.com/products/7874-wide-heatsink-64as?variant=42105916948642&amp;country=US&amp;currency=USD&amp;utm_medium=product_sync&amp;utm_source=google&amp;utm_content=sag_organic&amp;utm_campaign=sag_organic&amp;utm_campaign=gs-2022-07-05&amp;utm_source=google&amp;utm_medium=smart_campaign&amp;gad_source=4&amp;gbraid=0AAAAABmrCYdmSs6RRO8d2MZDT69-jNeqJ&amp;gclid=CjwKCAjwq7fABhB2EiwAwk-YbNJNHDVNKmhC6NEKsVn3wKhq0ggWOAc9W3ACV31yxpUNhxtY-Ju1OxoCGtAQAvD_BwE</t>
  </si>
  <si>
    <t xml:space="preserve"> </t>
  </si>
  <si>
    <t>Total height of ice (in)</t>
  </si>
  <si>
    <t>Fin Height (in)</t>
  </si>
  <si>
    <t>Cost</t>
  </si>
  <si>
    <t>Material</t>
  </si>
  <si>
    <t>Aluminum</t>
  </si>
  <si>
    <t>Plate thickness (in)</t>
  </si>
  <si>
    <t>Total height (in)</t>
  </si>
  <si>
    <t>Height of Ice layer (in)</t>
  </si>
  <si>
    <t>Option 2</t>
  </si>
  <si>
    <t>https://heatsinkonline.com/collections/heatsink-extrusions/products/11811-wide-heatsink-1064as?variant=42105919045794</t>
  </si>
  <si>
    <t>Block height per layer (in)</t>
  </si>
  <si>
    <t>Option 3</t>
  </si>
  <si>
    <t>HeatSinkUSA</t>
  </si>
  <si>
    <t>https://www.heatsinkusa.com/12-000-wide-extruded-aluminum-heatsink/</t>
  </si>
  <si>
    <t xml:space="preserve">Width range </t>
  </si>
  <si>
    <t>yes</t>
  </si>
  <si>
    <t>1-75 inches</t>
  </si>
  <si>
    <t>aluminum</t>
  </si>
  <si>
    <t>Option 4</t>
  </si>
  <si>
    <t>Option 5</t>
  </si>
  <si>
    <t>Amazon</t>
  </si>
  <si>
    <t>https://www.amazon.com/Awxlumv-Large-Aluminum-Heatsink-Cooler/dp/B086MSVB23/ref=sr_1_3?crid=T4PI6JDBNZH6&amp;dib=eyJ2IjoiMSJ9.lP1Gk8rxCkjcJlPW3jCSTRrU_4Z8-UbQc4hNuEr2_kqi1wst81ird8OrOEGuUpmNKoxS9fsBfurcx9my9qi9HtcmNMFQ_6sti1mh6Vv1YaDsU66MXpu1_ZU5_6nVWOuAwQjRoansHliJCjVgMO3FVs36-_MFM3HMrSkKZYUXc6LOjEB5sfKwTWCShQUTSdjB5dGkLpjbQW3E_fFcmsqwk5JAl4D4yfvFMkB4Ww52DJ11wUROlomf70P_nfTzevWhk2bBK_raB5HJCD16Y0KqPe-jlmSyYiCHCoIMJwBbxCI.eftzBNpJLa9Wqs1x8Gdbx8yIbb4Pu6M5X2YIncHSdUI&amp;dib_tag=se&amp;keywords=large%2Bheat%2Bsink&amp;qid=1745790740&amp;s=industrial&amp;sprefix=large%2Bheat%2Bsink%2Cindustrial%2C158&amp;sr=1-3&amp;th=1</t>
  </si>
  <si>
    <t>Fin spacing (mm)</t>
  </si>
  <si>
    <t>Fin thickness (mm)</t>
  </si>
  <si>
    <t>Fin Height (mm)</t>
  </si>
  <si>
    <t>Width (mm)</t>
  </si>
  <si>
    <t>Length (mm)</t>
  </si>
  <si>
    <t>Plate thickness (mm)</t>
  </si>
  <si>
    <t>Total height (mm)</t>
  </si>
  <si>
    <t>STEP 4: Determine how much additional energy per CFM of fan speed</t>
  </si>
  <si>
    <t>Goal: Decide if it's worth it in terms of energy/money savings of the fan running if we use up the extra refrigerator space for the 0.5 to 1 in height of the fins difference</t>
  </si>
  <si>
    <t>Total Pressure (in of water)</t>
  </si>
  <si>
    <t>Need to update with more accurate number based on pressure drop</t>
  </si>
  <si>
    <t>Fan efficiency</t>
  </si>
  <si>
    <t>Motor efficiency</t>
  </si>
  <si>
    <t>conversion factor</t>
  </si>
  <si>
    <t>Volumetric flow rate (CFM)</t>
  </si>
  <si>
    <t>Flow rate CFM</t>
  </si>
  <si>
    <t>Brake horsepower</t>
  </si>
  <si>
    <t>Percent increase</t>
  </si>
  <si>
    <t>Electrical power (kW)</t>
  </si>
  <si>
    <t>Cost to operate ($)</t>
  </si>
  <si>
    <t>Electrical Power (W)</t>
  </si>
  <si>
    <t>Electrical power (hp)</t>
  </si>
  <si>
    <t>Electricity over Passive period (kWh)</t>
  </si>
  <si>
    <t>Brake Horsepower (hp)</t>
  </si>
  <si>
    <t>Using just proportions of affinity laws</t>
  </si>
  <si>
    <t>BHP1</t>
  </si>
  <si>
    <t>CFM1</t>
  </si>
  <si>
    <t>https://integracontrols.com/fan-curves-explained/</t>
  </si>
  <si>
    <t>CFM2</t>
  </si>
  <si>
    <t>BHP2</t>
  </si>
  <si>
    <t>https://www.qats.com/cms/2010/05/19/how-to-understand-fan-curves-and-optimum-operating-points/</t>
  </si>
  <si>
    <t>Can also include heat losses as function of flow rate</t>
  </si>
  <si>
    <t>System resistance curve (pressure)</t>
  </si>
  <si>
    <t>Static Pressure drop: the furthest path</t>
  </si>
  <si>
    <t>THE AIR SHOULDNT GO THROUGH THE EVPORATOR IF IT GOES THOROUGH THE ICE+FINS</t>
  </si>
  <si>
    <t>Assumptions</t>
  </si>
  <si>
    <t>Airflow through the three sections is the same</t>
  </si>
  <si>
    <t>Imperial</t>
  </si>
  <si>
    <t>SI</t>
  </si>
  <si>
    <t>A</t>
  </si>
  <si>
    <t>B</t>
  </si>
  <si>
    <t>C</t>
  </si>
  <si>
    <t>D</t>
  </si>
  <si>
    <t>E</t>
  </si>
  <si>
    <t>F</t>
  </si>
  <si>
    <t>G</t>
  </si>
  <si>
    <t>H</t>
  </si>
  <si>
    <t>I</t>
  </si>
  <si>
    <t>Proposed energy use and energy cost</t>
  </si>
  <si>
    <t>Hours</t>
  </si>
  <si>
    <t>W</t>
  </si>
  <si>
    <t>Additional cost to freeze the ice that we use for passice</t>
  </si>
  <si>
    <t>yearly kwh</t>
  </si>
  <si>
    <t>Money to run for 3 hours a day, 365 days a year</t>
  </si>
  <si>
    <t>Daily cooling load</t>
  </si>
  <si>
    <t>Yearly energy use(kWh)</t>
  </si>
  <si>
    <t>Total energy use</t>
  </si>
  <si>
    <t>Average cost of electricity during peak hours ($/kWh)</t>
  </si>
  <si>
    <t>Average cost of electricity during off peak hours ($/kWh)</t>
  </si>
  <si>
    <t>Redoing the cost to freeze ice calcs</t>
  </si>
  <si>
    <t>I think we just ignore this</t>
  </si>
  <si>
    <t>Mass of ice that must be frozen (kg)</t>
  </si>
  <si>
    <t>From Step 2</t>
  </si>
  <si>
    <t>Heat that must be removed PER DAY (kJ)</t>
  </si>
  <si>
    <t>Heat that must be removed PER DAY (kWh)</t>
  </si>
  <si>
    <t>Cost to remove heat PER DAY ($)</t>
  </si>
  <si>
    <t>Cost to remove heat PER YEAR ($)</t>
  </si>
  <si>
    <t>Unmodified refrigerator annual energy consumption (kWh)</t>
  </si>
  <si>
    <t>Hours of the day refrigerator in passive mode (hours)</t>
  </si>
  <si>
    <t>Hours in a day</t>
  </si>
  <si>
    <t>Percent of time in passive cooling mode</t>
  </si>
  <si>
    <t>Unmodified refrigerator consumption during those three hours all year  (kWh)</t>
  </si>
  <si>
    <t>Cost of unmodified during those hours per year ($)</t>
  </si>
  <si>
    <t>COST SAVINGS</t>
  </si>
  <si>
    <t>Total cost savings per year</t>
  </si>
  <si>
    <t>STEP 5: Creating System Curve (Pressure drop based on CFM)</t>
  </si>
  <si>
    <t>Open area</t>
  </si>
  <si>
    <t>Input - Volumetric flow</t>
  </si>
  <si>
    <t>m^3/s</t>
  </si>
  <si>
    <t>Pressure Drop Due to TransitionsCalculations</t>
  </si>
  <si>
    <t>Percent of total cfm</t>
  </si>
  <si>
    <t>Assumed cross area (in^2)</t>
  </si>
  <si>
    <t>Velocity at each point (fpm)</t>
  </si>
  <si>
    <t>Assumed cross area (m^2)</t>
  </si>
  <si>
    <t>Velocity at each point (m/s)</t>
  </si>
  <si>
    <t>Transition Type</t>
  </si>
  <si>
    <t>D/D or A/A</t>
  </si>
  <si>
    <t>Loss coefficient</t>
  </si>
  <si>
    <t>Pressure Drop (Pa)</t>
  </si>
  <si>
    <t>Pressure Drop (in water)</t>
  </si>
  <si>
    <t>Into Ice + fins</t>
  </si>
  <si>
    <t>Straight</t>
  </si>
  <si>
    <t>Draw air from bottom shelf</t>
  </si>
  <si>
    <t>Leaving Ice + fins</t>
  </si>
  <si>
    <t>sudden expansion</t>
  </si>
  <si>
    <t>90 deg Turn</t>
  </si>
  <si>
    <t>90 deg sharp elbow</t>
  </si>
  <si>
    <t>--</t>
  </si>
  <si>
    <t>Could have fan battery powered for power outages</t>
  </si>
  <si>
    <t>2 in x 14 in gap</t>
  </si>
  <si>
    <t>Second fan for the fin and ice block</t>
  </si>
  <si>
    <t>Emergency power system for fridge could be implemented as is</t>
  </si>
  <si>
    <t>"Emergency power kit"</t>
  </si>
  <si>
    <t>Into Drawer?</t>
  </si>
  <si>
    <t>Return vent</t>
  </si>
  <si>
    <t>Return Grille</t>
  </si>
  <si>
    <t>Turn</t>
  </si>
  <si>
    <t>90 deg sharp elbow x 2</t>
  </si>
  <si>
    <t>Input airflow (CFM)</t>
  </si>
  <si>
    <t>Pressure Drop Total Given Input CFM</t>
  </si>
  <si>
    <t>.5 in x 14 in gap</t>
  </si>
  <si>
    <t>SOURCE</t>
  </si>
  <si>
    <t>System Pressure Drop</t>
  </si>
  <si>
    <t>Fan Pressure</t>
  </si>
  <si>
    <t>Fan Pressure at 50 Hz</t>
  </si>
  <si>
    <t>Source for sudden contraction</t>
  </si>
  <si>
    <t>https://www.sciencedirect.com/topics/engineering/fin-efficiency</t>
  </si>
  <si>
    <t>https://www.sciencedirect.com/science/article/pii/S1364032117310687</t>
  </si>
  <si>
    <t>The tanh is for asumption that the fin tip is insulated. This is not the case for the central fins but is for the exterior fins</t>
  </si>
  <si>
    <r>
      <rPr>
        <rFont val="Arial"/>
        <b/>
        <color theme="1"/>
        <sz val="13.0"/>
      </rPr>
      <t xml:space="preserve">STEP 3: Determine </t>
    </r>
    <r>
      <rPr>
        <rFont val="Arial"/>
        <b/>
        <color rgb="FFFF0000"/>
        <sz val="13.0"/>
      </rPr>
      <t>AVERAGE</t>
    </r>
    <r>
      <rPr>
        <rFont val="Arial"/>
        <b/>
        <color theme="1"/>
        <sz val="13.0"/>
      </rPr>
      <t xml:space="preserve"> Fan CFM and resulting output temperature based on surface area</t>
    </r>
  </si>
  <si>
    <t>NO FINS</t>
  </si>
  <si>
    <t>NO FINS - ONE LAYER OF ICE</t>
  </si>
  <si>
    <t>Note these cells are pasted, not linked since I transposed</t>
  </si>
  <si>
    <t>Check out how the center ones are enclosed</t>
  </si>
  <si>
    <t>Look into fin efficiency</t>
  </si>
  <si>
    <t>STEP 5:When will the ice start to melt based on initial freezer temperature</t>
  </si>
  <si>
    <t>Block thickness (m)</t>
  </si>
  <si>
    <t>Characteristic Length (m)</t>
  </si>
  <si>
    <t>Heat transfer coefficient (W/m^2C)</t>
  </si>
  <si>
    <t>Biot Number</t>
  </si>
  <si>
    <t>Lambda1</t>
  </si>
  <si>
    <t>lamb_1</t>
  </si>
  <si>
    <t>A1</t>
  </si>
  <si>
    <t>A_1</t>
  </si>
  <si>
    <t>Thermal diffusivity (m^2/s)</t>
  </si>
  <si>
    <t>Initial temperature (C)</t>
  </si>
  <si>
    <t>T_i</t>
  </si>
  <si>
    <t>Inlet temperature (C)</t>
  </si>
  <si>
    <t>Outlet temperature (C)</t>
  </si>
  <si>
    <t>T_outlet</t>
  </si>
  <si>
    <t>TEMPERATURE DISTRIBUTION AT THE FRONT OF THE ICE BLOCK</t>
  </si>
  <si>
    <t>Time (minutes)</t>
  </si>
  <si>
    <t>Time (seconds)</t>
  </si>
  <si>
    <t>Step size</t>
  </si>
  <si>
    <t>Fourier number (tau)</t>
  </si>
  <si>
    <t>Distance from center x (m)</t>
  </si>
  <si>
    <t>Temperature</t>
  </si>
  <si>
    <t>TEMPERATURE DISTRIBUTION AT THE BACK OF THE ICE BLOCK</t>
  </si>
  <si>
    <t>Front surface temp</t>
  </si>
  <si>
    <t>Back surface temp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</si>
</sst>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0">
    <numFmt numFmtId="164" formatCode="&quot;$&quot;#,##0.00"/>
    <numFmt numFmtId="165" formatCode="0.000000"/>
    <numFmt numFmtId="166" formatCode="0.000"/>
    <numFmt numFmtId="167" formatCode="0.0000"/>
    <numFmt numFmtId="168" formatCode="0.0"/>
    <numFmt numFmtId="169" formatCode="0.00000"/>
    <numFmt numFmtId="170" formatCode="0.0000000"/>
    <numFmt numFmtId="171" formatCode="m-d"/>
    <numFmt numFmtId="172" formatCode="&quot;$&quot;#,##0.000"/>
    <numFmt numFmtId="173" formatCode="&quot;$&quot;#,##0.0000"/>
  </numFmts>
  <fonts count="18">
    <font>
      <sz val="10.0"/>
      <color rgb="FF000000"/>
      <name val="Arial"/>
      <scheme val="minor"/>
    </font>
    <font>
      <sz val="12.0"/>
      <color theme="1"/>
      <name val="Arial"/>
      <scheme val="minor"/>
    </font>
    <font>
      <color theme="1"/>
      <name val="Arial"/>
      <scheme val="minor"/>
    </font>
    <font/>
    <font>
      <color theme="1"/>
      <name val="Arial"/>
    </font>
    <font>
      <b/>
      <sz val="13.0"/>
      <color theme="1"/>
      <name val="Arial"/>
      <scheme val="minor"/>
    </font>
    <font>
      <u/>
      <color rgb="FF0000FF"/>
    </font>
    <font>
      <b/>
      <sz val="12.0"/>
      <color theme="1"/>
      <name val="Arial"/>
      <scheme val="minor"/>
    </font>
    <font>
      <b/>
      <color theme="1"/>
      <name val="Arial"/>
    </font>
    <font>
      <b/>
      <color theme="1"/>
      <name val="Arial"/>
      <scheme val="minor"/>
    </font>
    <font>
      <b/>
      <sz val="13.0"/>
      <color theme="1"/>
      <name val="Arial"/>
    </font>
    <font>
      <b/>
      <sz val="16.0"/>
      <color rgb="FFFF0000"/>
      <name val="Arial"/>
      <scheme val="minor"/>
    </font>
    <font>
      <b/>
      <color rgb="FFFF0000"/>
      <name val="Arial"/>
      <scheme val="minor"/>
    </font>
    <font>
      <u/>
      <color rgb="FF0000FF"/>
    </font>
    <font>
      <u/>
      <color rgb="FF0000FF"/>
    </font>
    <font>
      <b/>
      <sz val="17.0"/>
      <color theme="1"/>
      <name val="Arial"/>
      <scheme val="minor"/>
    </font>
    <font>
      <u/>
      <color rgb="FF0000FF"/>
    </font>
    <font>
      <u/>
      <color rgb="FF0000FF"/>
    </font>
  </fonts>
  <fills count="20">
    <fill>
      <patternFill patternType="none"/>
    </fill>
    <fill>
      <patternFill patternType="lightGray"/>
    </fill>
    <fill>
      <patternFill patternType="solid">
        <fgColor rgb="FFC9DAF8"/>
        <bgColor rgb="FFC9DAF8"/>
      </patternFill>
    </fill>
    <fill>
      <patternFill patternType="solid">
        <fgColor rgb="FFF1F6FF"/>
        <bgColor rgb="FFF1F6FF"/>
      </patternFill>
    </fill>
    <fill>
      <patternFill patternType="solid">
        <fgColor rgb="FFFFF2CC"/>
        <bgColor rgb="FFFFF2CC"/>
      </patternFill>
    </fill>
    <fill>
      <patternFill patternType="solid">
        <fgColor rgb="FFFFE599"/>
        <bgColor rgb="FFFFE599"/>
      </patternFill>
    </fill>
    <fill>
      <patternFill patternType="solid">
        <fgColor rgb="FFB6D7A8"/>
        <bgColor rgb="FFB6D7A8"/>
      </patternFill>
    </fill>
    <fill>
      <patternFill patternType="solid">
        <fgColor rgb="FFFFD966"/>
        <bgColor rgb="FFFFD966"/>
      </patternFill>
    </fill>
    <fill>
      <patternFill patternType="solid">
        <fgColor rgb="FFF1C232"/>
        <bgColor rgb="FFF1C232"/>
      </patternFill>
    </fill>
    <fill>
      <patternFill patternType="solid">
        <fgColor rgb="FFD9D9D9"/>
        <bgColor rgb="FFD9D9D9"/>
      </patternFill>
    </fill>
    <fill>
      <patternFill patternType="solid">
        <fgColor rgb="FFF4CCCC"/>
        <bgColor rgb="FFF4CCCC"/>
      </patternFill>
    </fill>
    <fill>
      <patternFill patternType="solid">
        <fgColor rgb="FFE5EEFF"/>
        <bgColor rgb="FFE5EEFF"/>
      </patternFill>
    </fill>
    <fill>
      <patternFill patternType="solid">
        <fgColor rgb="FFCFE2F3"/>
        <bgColor rgb="FFCFE2F3"/>
      </patternFill>
    </fill>
    <fill>
      <patternFill patternType="solid">
        <fgColor rgb="FFA4C2F4"/>
        <bgColor rgb="FFA4C2F4"/>
      </patternFill>
    </fill>
    <fill>
      <patternFill patternType="solid">
        <fgColor rgb="FFD9EAD3"/>
        <bgColor rgb="FFD9EAD3"/>
      </patternFill>
    </fill>
    <fill>
      <patternFill patternType="solid">
        <fgColor rgb="FF93C47D"/>
        <bgColor rgb="FF93C47D"/>
      </patternFill>
    </fill>
    <fill>
      <patternFill patternType="solid">
        <fgColor rgb="FFEA9999"/>
        <bgColor rgb="FFEA9999"/>
      </patternFill>
    </fill>
    <fill>
      <patternFill patternType="solid">
        <fgColor rgb="FF00FF00"/>
        <bgColor rgb="FF00FF00"/>
      </patternFill>
    </fill>
    <fill>
      <patternFill patternType="solid">
        <fgColor rgb="FFF3F3F3"/>
        <bgColor rgb="FFF3F3F3"/>
      </patternFill>
    </fill>
    <fill>
      <patternFill patternType="solid">
        <fgColor rgb="FFFFFF00"/>
        <bgColor rgb="FFFFFF00"/>
      </patternFill>
    </fill>
  </fills>
  <borders count="28">
    <border/>
    <border>
      <left style="medium">
        <color rgb="FF1C4587"/>
      </left>
      <top style="medium">
        <color rgb="FF1C4587"/>
      </top>
    </border>
    <border>
      <top style="medium">
        <color rgb="FF1C4587"/>
      </top>
    </border>
    <border>
      <right style="medium">
        <color rgb="FF1C4587"/>
      </right>
      <top style="medium">
        <color rgb="FF1C4587"/>
      </top>
    </border>
    <border>
      <left style="medium">
        <color rgb="FF1C4587"/>
      </left>
      <right style="thin">
        <color rgb="FF1C4587"/>
      </right>
      <top style="thin">
        <color rgb="FF1C4587"/>
      </top>
      <bottom style="thin">
        <color rgb="FF1C4587"/>
      </bottom>
    </border>
    <border>
      <left style="thin">
        <color rgb="FF1C4587"/>
      </left>
      <right style="thin">
        <color rgb="FF1C4587"/>
      </right>
      <top style="thin">
        <color rgb="FF1C4587"/>
      </top>
      <bottom style="thin">
        <color rgb="FF1C4587"/>
      </bottom>
    </border>
    <border>
      <left style="thin">
        <color rgb="FF1C4587"/>
      </left>
      <right style="medium">
        <color rgb="FF1C4587"/>
      </right>
      <top style="thin">
        <color rgb="FF1C4587"/>
      </top>
      <bottom style="thin">
        <color rgb="FF1C4587"/>
      </bottom>
    </border>
    <border>
      <left style="medium">
        <color rgb="FF1C4587"/>
      </left>
    </border>
    <border>
      <right style="medium">
        <color rgb="FF1C4587"/>
      </right>
    </border>
    <border>
      <left style="medium">
        <color rgb="FF1C4587"/>
      </left>
      <bottom style="medium">
        <color rgb="FF1C4587"/>
      </bottom>
    </border>
    <border>
      <bottom style="medium">
        <color rgb="FF1C4587"/>
      </bottom>
    </border>
    <border>
      <right style="medium">
        <color rgb="FF1C4587"/>
      </right>
      <bottom style="medium">
        <color rgb="FF1C4587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1C4587"/>
      </left>
      <top style="thin">
        <color rgb="FF1C4587"/>
      </top>
    </border>
    <border>
      <top style="thin">
        <color rgb="FF1C4587"/>
      </top>
    </border>
    <border>
      <right style="thin">
        <color rgb="FF1C4587"/>
      </right>
      <top style="thin">
        <color rgb="FF1C4587"/>
      </top>
    </border>
    <border>
      <left style="thin">
        <color rgb="FF1C4587"/>
      </left>
    </border>
    <border>
      <right style="thin">
        <color rgb="FF1C4587"/>
      </right>
    </border>
    <border>
      <left style="thin">
        <color rgb="FF1C4587"/>
      </left>
      <bottom style="thin">
        <color rgb="FF1C4587"/>
      </bottom>
    </border>
    <border>
      <bottom style="thin">
        <color rgb="FF1C4587"/>
      </bottom>
    </border>
    <border>
      <right style="thin">
        <color rgb="FF1C4587"/>
      </right>
      <bottom style="thin">
        <color rgb="FF1C4587"/>
      </bottom>
    </border>
    <border>
      <bottom style="thick">
        <color rgb="FF1C4587"/>
      </bottom>
    </border>
    <border>
      <left style="thin">
        <color rgb="FF1C4587"/>
      </left>
      <top style="thin">
        <color rgb="FF1C4587"/>
      </top>
      <bottom style="thin">
        <color rgb="FF1C4587"/>
      </bottom>
    </border>
    <border>
      <right style="thin">
        <color rgb="FF1C4587"/>
      </right>
      <top style="thin">
        <color rgb="FF1C4587"/>
      </top>
      <bottom style="thin">
        <color rgb="FF1C4587"/>
      </bottom>
    </border>
    <border>
      <left style="thin">
        <color rgb="FF1C4587"/>
      </left>
      <right style="thin">
        <color rgb="FF1C4587"/>
      </right>
      <top style="thin">
        <color rgb="FF1C4587"/>
      </top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257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1" fillId="2" fontId="2" numFmtId="0" xfId="0" applyAlignment="1" applyBorder="1" applyFill="1" applyFont="1">
      <alignment horizontal="center" readingOrder="0"/>
    </xf>
    <xf borderId="2" fillId="0" fontId="3" numFmtId="0" xfId="0" applyBorder="1" applyFont="1"/>
    <xf borderId="3" fillId="0" fontId="3" numFmtId="0" xfId="0" applyBorder="1" applyFont="1"/>
    <xf borderId="0" fillId="0" fontId="2" numFmtId="0" xfId="0" applyAlignment="1" applyFont="1">
      <alignment readingOrder="0"/>
    </xf>
    <xf borderId="4" fillId="3" fontId="2" numFmtId="0" xfId="0" applyAlignment="1" applyBorder="1" applyFill="1" applyFont="1">
      <alignment horizontal="center" readingOrder="0"/>
    </xf>
    <xf borderId="5" fillId="3" fontId="2" numFmtId="0" xfId="0" applyAlignment="1" applyBorder="1" applyFont="1">
      <alignment horizontal="center" readingOrder="0"/>
    </xf>
    <xf borderId="6" fillId="3" fontId="2" numFmtId="0" xfId="0" applyAlignment="1" applyBorder="1" applyFont="1">
      <alignment horizontal="center" readingOrder="0"/>
    </xf>
    <xf borderId="0" fillId="4" fontId="4" numFmtId="0" xfId="0" applyAlignment="1" applyFill="1" applyFont="1">
      <alignment vertical="bottom"/>
    </xf>
    <xf borderId="0" fillId="4" fontId="4" numFmtId="164" xfId="0" applyAlignment="1" applyFont="1" applyNumberFormat="1">
      <alignment horizontal="right" vertical="bottom"/>
    </xf>
    <xf borderId="7" fillId="0" fontId="4" numFmtId="0" xfId="0" applyAlignment="1" applyBorder="1" applyFont="1">
      <alignment readingOrder="0" vertical="bottom"/>
    </xf>
    <xf borderId="0" fillId="0" fontId="4" numFmtId="0" xfId="0" applyAlignment="1" applyFont="1">
      <alignment horizontal="right" readingOrder="0" vertical="bottom"/>
    </xf>
    <xf borderId="8" fillId="0" fontId="2" numFmtId="0" xfId="0" applyAlignment="1" applyBorder="1" applyFont="1">
      <alignment readingOrder="0"/>
    </xf>
    <xf borderId="7" fillId="0" fontId="2" numFmtId="0" xfId="0" applyAlignment="1" applyBorder="1" applyFont="1">
      <alignment readingOrder="0"/>
    </xf>
    <xf borderId="8" fillId="0" fontId="4" numFmtId="0" xfId="0" applyAlignment="1" applyBorder="1" applyFont="1">
      <alignment readingOrder="0" vertical="bottom"/>
    </xf>
    <xf borderId="7" fillId="0" fontId="2" numFmtId="0" xfId="0" applyBorder="1" applyFont="1"/>
    <xf borderId="8" fillId="0" fontId="2" numFmtId="0" xfId="0" applyBorder="1" applyFont="1"/>
    <xf borderId="0" fillId="2" fontId="4" numFmtId="0" xfId="0" applyAlignment="1" applyFont="1">
      <alignment vertical="bottom"/>
    </xf>
    <xf borderId="0" fillId="2" fontId="4" numFmtId="164" xfId="0" applyAlignment="1" applyFont="1" applyNumberFormat="1">
      <alignment horizontal="right" vertical="bottom"/>
    </xf>
    <xf borderId="9" fillId="0" fontId="2" numFmtId="0" xfId="0" applyBorder="1" applyFont="1"/>
    <xf borderId="10" fillId="0" fontId="2" numFmtId="0" xfId="0" applyBorder="1" applyFont="1"/>
    <xf borderId="11" fillId="0" fontId="2" numFmtId="0" xfId="0" applyBorder="1" applyFont="1"/>
    <xf borderId="9" fillId="0" fontId="2" numFmtId="0" xfId="0" applyAlignment="1" applyBorder="1" applyFont="1">
      <alignment readingOrder="0"/>
    </xf>
    <xf borderId="10" fillId="0" fontId="2" numFmtId="0" xfId="0" applyAlignment="1" applyBorder="1" applyFont="1">
      <alignment readingOrder="0"/>
    </xf>
    <xf borderId="11" fillId="0" fontId="4" numFmtId="0" xfId="0" applyAlignment="1" applyBorder="1" applyFont="1">
      <alignment readingOrder="0" vertical="bottom"/>
    </xf>
    <xf borderId="0" fillId="0" fontId="4" numFmtId="0" xfId="0" applyAlignment="1" applyFont="1">
      <alignment vertical="bottom"/>
    </xf>
    <xf borderId="0" fillId="0" fontId="2" numFmtId="164" xfId="0" applyFont="1" applyNumberFormat="1"/>
    <xf borderId="0" fillId="0" fontId="4" numFmtId="0" xfId="0" applyAlignment="1" applyFont="1">
      <alignment horizontal="right" vertical="bottom"/>
    </xf>
    <xf borderId="7" fillId="0" fontId="4" numFmtId="0" xfId="0" applyAlignment="1" applyBorder="1" applyFont="1">
      <alignment vertical="bottom"/>
    </xf>
    <xf borderId="0" fillId="0" fontId="2" numFmtId="20" xfId="0" applyAlignment="1" applyFont="1" applyNumberFormat="1">
      <alignment readingOrder="0"/>
    </xf>
    <xf borderId="0" fillId="0" fontId="2" numFmtId="0" xfId="0" applyFont="1"/>
    <xf borderId="8" fillId="0" fontId="4" numFmtId="0" xfId="0" applyAlignment="1" applyBorder="1" applyFont="1">
      <alignment vertical="bottom"/>
    </xf>
    <xf borderId="11" fillId="0" fontId="4" numFmtId="0" xfId="0" applyAlignment="1" applyBorder="1" applyFont="1">
      <alignment vertical="bottom"/>
    </xf>
    <xf borderId="0" fillId="4" fontId="4" numFmtId="0" xfId="0" applyAlignment="1" applyFont="1">
      <alignment readingOrder="0" vertical="bottom"/>
    </xf>
    <xf borderId="0" fillId="4" fontId="4" numFmtId="0" xfId="0" applyAlignment="1" applyFont="1">
      <alignment horizontal="right" vertical="bottom"/>
    </xf>
    <xf borderId="0" fillId="0" fontId="5" numFmtId="0" xfId="0" applyAlignment="1" applyFont="1">
      <alignment readingOrder="0"/>
    </xf>
    <xf borderId="0" fillId="5" fontId="2" numFmtId="0" xfId="0" applyFill="1" applyFont="1"/>
    <xf borderId="0" fillId="5" fontId="2" numFmtId="0" xfId="0" applyAlignment="1" applyFont="1">
      <alignment readingOrder="0"/>
    </xf>
    <xf borderId="0" fillId="5" fontId="6" numFmtId="0" xfId="0" applyAlignment="1" applyFont="1">
      <alignment readingOrder="0"/>
    </xf>
    <xf borderId="0" fillId="0" fontId="2" numFmtId="165" xfId="0" applyFont="1" applyNumberFormat="1"/>
    <xf borderId="0" fillId="0" fontId="2" numFmtId="166" xfId="0" applyFont="1" applyNumberFormat="1"/>
    <xf borderId="0" fillId="0" fontId="2" numFmtId="167" xfId="0" applyFont="1" applyNumberFormat="1"/>
    <xf borderId="0" fillId="0" fontId="7" numFmtId="0" xfId="0" applyAlignment="1" applyFont="1">
      <alignment readingOrder="0"/>
    </xf>
    <xf borderId="0" fillId="6" fontId="2" numFmtId="0" xfId="0" applyAlignment="1" applyFill="1" applyFont="1">
      <alignment readingOrder="0"/>
    </xf>
    <xf borderId="0" fillId="6" fontId="2" numFmtId="0" xfId="0" applyFont="1"/>
    <xf borderId="0" fillId="4" fontId="4" numFmtId="0" xfId="0" applyAlignment="1" applyFont="1">
      <alignment horizontal="right" readingOrder="0" vertical="bottom"/>
    </xf>
    <xf borderId="0" fillId="4" fontId="2" numFmtId="0" xfId="0" applyAlignment="1" applyFont="1">
      <alignment readingOrder="0"/>
    </xf>
    <xf borderId="0" fillId="4" fontId="2" numFmtId="0" xfId="0" applyFont="1"/>
    <xf borderId="0" fillId="4" fontId="2" numFmtId="2" xfId="0" applyFont="1" applyNumberFormat="1"/>
    <xf borderId="0" fillId="4" fontId="4" numFmtId="2" xfId="0" applyAlignment="1" applyFont="1" applyNumberFormat="1">
      <alignment horizontal="right" vertical="bottom"/>
    </xf>
    <xf borderId="0" fillId="7" fontId="2" numFmtId="0" xfId="0" applyAlignment="1" applyFill="1" applyFont="1">
      <alignment readingOrder="0"/>
    </xf>
    <xf borderId="0" fillId="7" fontId="2" numFmtId="168" xfId="0" applyFont="1" applyNumberFormat="1"/>
    <xf borderId="0" fillId="4" fontId="4" numFmtId="166" xfId="0" applyAlignment="1" applyFont="1" applyNumberFormat="1">
      <alignment horizontal="right" vertical="bottom"/>
    </xf>
    <xf borderId="0" fillId="0" fontId="2" numFmtId="2" xfId="0" applyFont="1" applyNumberFormat="1"/>
    <xf borderId="0" fillId="8" fontId="4" numFmtId="0" xfId="0" applyAlignment="1" applyFill="1" applyFont="1">
      <alignment readingOrder="0" vertical="bottom"/>
    </xf>
    <xf borderId="0" fillId="8" fontId="4" numFmtId="166" xfId="0" applyAlignment="1" applyFont="1" applyNumberFormat="1">
      <alignment horizontal="right" vertical="bottom"/>
    </xf>
    <xf borderId="0" fillId="7" fontId="4" numFmtId="166" xfId="0" applyAlignment="1" applyFont="1" applyNumberFormat="1">
      <alignment horizontal="right" vertical="bottom"/>
    </xf>
    <xf borderId="0" fillId="0" fontId="4" numFmtId="0" xfId="0" applyAlignment="1" applyFont="1">
      <alignment readingOrder="0" vertical="bottom"/>
    </xf>
    <xf borderId="0" fillId="4" fontId="4" numFmtId="168" xfId="0" applyAlignment="1" applyFont="1" applyNumberFormat="1">
      <alignment horizontal="right" vertical="bottom"/>
    </xf>
    <xf borderId="0" fillId="7" fontId="4" numFmtId="0" xfId="0" applyAlignment="1" applyFont="1">
      <alignment vertical="bottom"/>
    </xf>
    <xf borderId="0" fillId="0" fontId="8" numFmtId="0" xfId="0" applyAlignment="1" applyFont="1">
      <alignment horizontal="center" vertical="center"/>
    </xf>
    <xf borderId="0" fillId="0" fontId="8" numFmtId="0" xfId="0" applyAlignment="1" applyFont="1">
      <alignment horizontal="center" shrinkToFit="0" vertical="center" wrapText="1"/>
    </xf>
    <xf borderId="0" fillId="0" fontId="8" numFmtId="0" xfId="0" applyAlignment="1" applyFont="1">
      <alignment horizontal="center" readingOrder="0" shrinkToFit="0" vertical="center" wrapText="1"/>
    </xf>
    <xf borderId="0" fillId="0" fontId="9" numFmtId="0" xfId="0" applyAlignment="1" applyFont="1">
      <alignment horizontal="center" readingOrder="0" shrinkToFit="0" vertical="center" wrapText="1"/>
    </xf>
    <xf borderId="0" fillId="8" fontId="7" numFmtId="0" xfId="0" applyAlignment="1" applyFont="1">
      <alignment readingOrder="0"/>
    </xf>
    <xf borderId="0" fillId="8" fontId="2" numFmtId="0" xfId="0" applyFont="1"/>
    <xf borderId="0" fillId="0" fontId="4" numFmtId="20" xfId="0" applyAlignment="1" applyFont="1" applyNumberFormat="1">
      <alignment horizontal="right" vertical="bottom"/>
    </xf>
    <xf borderId="0" fillId="0" fontId="2" numFmtId="166" xfId="0" applyFont="1" applyNumberFormat="1"/>
    <xf borderId="0" fillId="0" fontId="2" numFmtId="0" xfId="0" applyFont="1"/>
    <xf borderId="0" fillId="0" fontId="2" numFmtId="2" xfId="0" applyFont="1" applyNumberFormat="1"/>
    <xf borderId="0" fillId="4" fontId="2" numFmtId="166" xfId="0" applyFont="1" applyNumberFormat="1"/>
    <xf borderId="0" fillId="7" fontId="2" numFmtId="0" xfId="0" applyFont="1"/>
    <xf borderId="12" fillId="0" fontId="2" numFmtId="0" xfId="0" applyAlignment="1" applyBorder="1" applyFont="1">
      <alignment horizontal="center" readingOrder="0"/>
    </xf>
    <xf borderId="12" fillId="0" fontId="2" numFmtId="1" xfId="0" applyAlignment="1" applyBorder="1" applyFont="1" applyNumberFormat="1">
      <alignment horizontal="center"/>
    </xf>
    <xf borderId="0" fillId="4" fontId="2" numFmtId="167" xfId="0" applyAlignment="1" applyFont="1" applyNumberFormat="1">
      <alignment readingOrder="0"/>
    </xf>
    <xf borderId="12" fillId="0" fontId="2" numFmtId="166" xfId="0" applyAlignment="1" applyBorder="1" applyFont="1" applyNumberFormat="1">
      <alignment horizontal="center"/>
    </xf>
    <xf borderId="0" fillId="4" fontId="2" numFmtId="1" xfId="0" applyFont="1" applyNumberFormat="1"/>
    <xf borderId="0" fillId="4" fontId="2" numFmtId="168" xfId="0" applyFont="1" applyNumberFormat="1"/>
    <xf borderId="0" fillId="4" fontId="2" numFmtId="164" xfId="0" applyFont="1" applyNumberFormat="1"/>
    <xf borderId="0" fillId="0" fontId="2" numFmtId="0" xfId="0" applyAlignment="1" applyFont="1">
      <alignment readingOrder="0"/>
    </xf>
    <xf borderId="13" fillId="9" fontId="9" numFmtId="0" xfId="0" applyAlignment="1" applyBorder="1" applyFill="1" applyFont="1">
      <alignment horizontal="center" readingOrder="0"/>
    </xf>
    <xf borderId="14" fillId="0" fontId="3" numFmtId="0" xfId="0" applyBorder="1" applyFont="1"/>
    <xf borderId="12" fillId="0" fontId="2" numFmtId="164" xfId="0" applyAlignment="1" applyBorder="1" applyFont="1" applyNumberFormat="1">
      <alignment horizontal="center"/>
    </xf>
    <xf borderId="12" fillId="4" fontId="2" numFmtId="0" xfId="0" applyAlignment="1" applyBorder="1" applyFont="1">
      <alignment horizontal="center" readingOrder="0"/>
    </xf>
    <xf borderId="12" fillId="4" fontId="2" numFmtId="164" xfId="0" applyAlignment="1" applyBorder="1" applyFont="1" applyNumberFormat="1">
      <alignment horizontal="center"/>
    </xf>
    <xf borderId="0" fillId="10" fontId="2" numFmtId="20" xfId="0" applyFill="1" applyFont="1" applyNumberFormat="1"/>
    <xf borderId="0" fillId="10" fontId="2" numFmtId="166" xfId="0" applyFont="1" applyNumberFormat="1"/>
    <xf borderId="0" fillId="10" fontId="2" numFmtId="0" xfId="0" applyAlignment="1" applyFont="1">
      <alignment readingOrder="0"/>
    </xf>
    <xf borderId="0" fillId="10" fontId="2" numFmtId="0" xfId="0" applyFont="1"/>
    <xf borderId="0" fillId="10" fontId="2" numFmtId="2" xfId="0" applyFont="1" applyNumberFormat="1"/>
    <xf borderId="0" fillId="10" fontId="2" numFmtId="0" xfId="0" applyFont="1"/>
    <xf borderId="0" fillId="0" fontId="10" numFmtId="0" xfId="0" applyAlignment="1" applyFont="1">
      <alignment readingOrder="0" vertical="bottom"/>
    </xf>
    <xf borderId="0" fillId="0" fontId="11" numFmtId="0" xfId="0" applyAlignment="1" applyFont="1">
      <alignment readingOrder="0"/>
    </xf>
    <xf borderId="15" fillId="4" fontId="2" numFmtId="0" xfId="0" applyAlignment="1" applyBorder="1" applyFont="1">
      <alignment readingOrder="0"/>
    </xf>
    <xf borderId="16" fillId="4" fontId="2" numFmtId="0" xfId="0" applyBorder="1" applyFont="1"/>
    <xf borderId="17" fillId="0" fontId="2" numFmtId="0" xfId="0" applyBorder="1" applyFont="1"/>
    <xf borderId="18" fillId="0" fontId="2" numFmtId="0" xfId="0" applyBorder="1" applyFont="1"/>
    <xf borderId="19" fillId="0" fontId="2" numFmtId="0" xfId="0" applyBorder="1" applyFont="1"/>
    <xf borderId="0" fillId="0" fontId="2" numFmtId="166" xfId="0" applyAlignment="1" applyFont="1" applyNumberFormat="1">
      <alignment readingOrder="0"/>
    </xf>
    <xf borderId="0" fillId="0" fontId="2" numFmtId="2" xfId="0" applyAlignment="1" applyFont="1" applyNumberFormat="1">
      <alignment readingOrder="0"/>
    </xf>
    <xf borderId="17" fillId="4" fontId="2" numFmtId="0" xfId="0" applyBorder="1" applyFont="1"/>
    <xf borderId="0" fillId="0" fontId="12" numFmtId="0" xfId="0" applyAlignment="1" applyFont="1">
      <alignment readingOrder="0"/>
    </xf>
    <xf borderId="20" fillId="0" fontId="2" numFmtId="0" xfId="0" applyBorder="1" applyFont="1"/>
    <xf borderId="21" fillId="0" fontId="2" numFmtId="0" xfId="0" applyBorder="1" applyFont="1"/>
    <xf borderId="22" fillId="0" fontId="2" numFmtId="0" xfId="0" applyBorder="1" applyFont="1"/>
    <xf borderId="23" fillId="0" fontId="2" numFmtId="0" xfId="0" applyBorder="1" applyFont="1"/>
    <xf borderId="23" fillId="0" fontId="2" numFmtId="0" xfId="0" applyAlignment="1" applyBorder="1" applyFont="1">
      <alignment readingOrder="0"/>
    </xf>
    <xf borderId="5" fillId="2" fontId="9" numFmtId="0" xfId="0" applyAlignment="1" applyBorder="1" applyFont="1">
      <alignment readingOrder="0"/>
    </xf>
    <xf borderId="5" fillId="2" fontId="2" numFmtId="0" xfId="0" applyBorder="1" applyFont="1"/>
    <xf borderId="5" fillId="5" fontId="2" numFmtId="0" xfId="0" applyAlignment="1" applyBorder="1" applyFont="1">
      <alignment readingOrder="0"/>
    </xf>
    <xf borderId="5" fillId="11" fontId="2" numFmtId="0" xfId="0" applyAlignment="1" applyBorder="1" applyFill="1" applyFont="1">
      <alignment readingOrder="0"/>
    </xf>
    <xf borderId="5" fillId="11" fontId="2" numFmtId="0" xfId="0" applyBorder="1" applyFont="1"/>
    <xf borderId="5" fillId="11" fontId="2" numFmtId="166" xfId="0" applyBorder="1" applyFont="1" applyNumberFormat="1"/>
    <xf borderId="0" fillId="0" fontId="4" numFmtId="0" xfId="0" applyAlignment="1" applyFont="1">
      <alignment horizontal="left" vertical="bottom"/>
    </xf>
    <xf borderId="0" fillId="0" fontId="2" numFmtId="169" xfId="0" applyFont="1" applyNumberFormat="1"/>
    <xf borderId="0" fillId="0" fontId="2" numFmtId="167" xfId="0" applyFont="1" applyNumberFormat="1"/>
    <xf borderId="0" fillId="0" fontId="4" numFmtId="0" xfId="0" applyAlignment="1" applyFont="1">
      <alignment horizontal="left" readingOrder="0" vertical="bottom"/>
    </xf>
    <xf borderId="0" fillId="0" fontId="2" numFmtId="1" xfId="0" applyFont="1" applyNumberFormat="1"/>
    <xf borderId="0" fillId="0" fontId="2" numFmtId="0" xfId="0" applyAlignment="1" applyFont="1">
      <alignment horizontal="left" readingOrder="0"/>
    </xf>
    <xf borderId="0" fillId="0" fontId="2" numFmtId="0" xfId="0" applyAlignment="1" applyFont="1">
      <alignment horizontal="right"/>
    </xf>
    <xf borderId="0" fillId="0" fontId="12" numFmtId="0" xfId="0" applyAlignment="1" applyFont="1">
      <alignment readingOrder="0"/>
    </xf>
    <xf borderId="16" fillId="4" fontId="2" numFmtId="165" xfId="0" applyBorder="1" applyFont="1" applyNumberFormat="1"/>
    <xf borderId="17" fillId="4" fontId="2" numFmtId="165" xfId="0" applyBorder="1" applyFont="1" applyNumberFormat="1"/>
    <xf borderId="15" fillId="4" fontId="2" numFmtId="165" xfId="0" applyAlignment="1" applyBorder="1" applyFont="1" applyNumberFormat="1">
      <alignment readingOrder="0"/>
    </xf>
    <xf borderId="5" fillId="4" fontId="2" numFmtId="165" xfId="0" applyAlignment="1" applyBorder="1" applyFont="1" applyNumberFormat="1">
      <alignment readingOrder="0"/>
    </xf>
    <xf borderId="5" fillId="4" fontId="2" numFmtId="165" xfId="0" applyBorder="1" applyFont="1" applyNumberFormat="1"/>
    <xf borderId="18" fillId="0" fontId="2" numFmtId="0" xfId="0" applyAlignment="1" applyBorder="1" applyFont="1">
      <alignment readingOrder="0"/>
    </xf>
    <xf borderId="24" fillId="0" fontId="2" numFmtId="0" xfId="0" applyAlignment="1" applyBorder="1" applyFont="1">
      <alignment readingOrder="0"/>
    </xf>
    <xf borderId="25" fillId="0" fontId="3" numFmtId="0" xfId="0" applyBorder="1" applyFont="1"/>
    <xf borderId="5" fillId="0" fontId="2" numFmtId="0" xfId="0" applyAlignment="1" applyBorder="1" applyFont="1">
      <alignment readingOrder="0"/>
    </xf>
    <xf borderId="0" fillId="0" fontId="2" numFmtId="169" xfId="0" applyAlignment="1" applyFont="1" applyNumberFormat="1">
      <alignment horizontal="center"/>
    </xf>
    <xf borderId="0" fillId="0" fontId="2" numFmtId="170" xfId="0" applyAlignment="1" applyFont="1" applyNumberFormat="1">
      <alignment horizontal="center"/>
    </xf>
    <xf borderId="5" fillId="12" fontId="2" numFmtId="0" xfId="0" applyAlignment="1" applyBorder="1" applyFill="1" applyFont="1">
      <alignment readingOrder="0"/>
    </xf>
    <xf borderId="5" fillId="12" fontId="2" numFmtId="0" xfId="0" applyBorder="1" applyFont="1"/>
    <xf borderId="0" fillId="0" fontId="4" numFmtId="165" xfId="0" applyAlignment="1" applyFont="1" applyNumberFormat="1">
      <alignment horizontal="center" vertical="bottom"/>
    </xf>
    <xf borderId="0" fillId="0" fontId="4" numFmtId="166" xfId="0" applyAlignment="1" applyFont="1" applyNumberFormat="1">
      <alignment horizontal="center" readingOrder="0" vertical="bottom"/>
    </xf>
    <xf borderId="0" fillId="0" fontId="2" numFmtId="1" xfId="0" applyAlignment="1" applyFont="1" applyNumberFormat="1">
      <alignment horizontal="center" readingOrder="0"/>
    </xf>
    <xf borderId="5" fillId="0" fontId="2" numFmtId="0" xfId="0" applyBorder="1" applyFont="1"/>
    <xf borderId="0" fillId="0" fontId="2" numFmtId="0" xfId="0" applyAlignment="1" applyFont="1">
      <alignment horizontal="center" readingOrder="0"/>
    </xf>
    <xf borderId="0" fillId="0" fontId="2" numFmtId="166" xfId="0" applyAlignment="1" applyFont="1" applyNumberFormat="1">
      <alignment horizontal="center"/>
    </xf>
    <xf borderId="0" fillId="0" fontId="2" numFmtId="0" xfId="0" applyAlignment="1" applyFont="1">
      <alignment horizontal="center"/>
    </xf>
    <xf borderId="0" fillId="0" fontId="2" numFmtId="2" xfId="0" applyAlignment="1" applyFont="1" applyNumberFormat="1">
      <alignment horizontal="center"/>
    </xf>
    <xf borderId="5" fillId="0" fontId="2" numFmtId="167" xfId="0" applyBorder="1" applyFont="1" applyNumberFormat="1"/>
    <xf borderId="5" fillId="0" fontId="2" numFmtId="2" xfId="0" applyAlignment="1" applyBorder="1" applyFont="1" applyNumberFormat="1">
      <alignment readingOrder="0"/>
    </xf>
    <xf borderId="0" fillId="0" fontId="2" numFmtId="10" xfId="0" applyAlignment="1" applyFont="1" applyNumberFormat="1">
      <alignment readingOrder="0"/>
    </xf>
    <xf borderId="0" fillId="0" fontId="2" numFmtId="165" xfId="0" applyFont="1" applyNumberFormat="1"/>
    <xf borderId="0" fillId="0" fontId="2" numFmtId="0" xfId="0" applyFont="1"/>
    <xf borderId="13" fillId="2" fontId="2" numFmtId="0" xfId="0" applyAlignment="1" applyBorder="1" applyFont="1">
      <alignment horizontal="center" readingOrder="0"/>
    </xf>
    <xf borderId="5" fillId="0" fontId="2" numFmtId="0" xfId="0" applyAlignment="1" applyBorder="1" applyFont="1">
      <alignment horizontal="center" readingOrder="0"/>
    </xf>
    <xf borderId="12" fillId="0" fontId="2" numFmtId="0" xfId="0" applyAlignment="1" applyBorder="1" applyFont="1">
      <alignment horizontal="center"/>
    </xf>
    <xf borderId="12" fillId="0" fontId="2" numFmtId="2" xfId="0" applyAlignment="1" applyBorder="1" applyFont="1" applyNumberFormat="1">
      <alignment horizontal="center"/>
    </xf>
    <xf borderId="26" fillId="0" fontId="2" numFmtId="0" xfId="0" applyAlignment="1" applyBorder="1" applyFont="1">
      <alignment readingOrder="0"/>
    </xf>
    <xf borderId="24" fillId="2" fontId="9" numFmtId="0" xfId="0" applyAlignment="1" applyBorder="1" applyFont="1">
      <alignment horizontal="center" readingOrder="0"/>
    </xf>
    <xf borderId="0" fillId="0" fontId="9" numFmtId="0" xfId="0" applyAlignment="1" applyFont="1">
      <alignment horizontal="center"/>
    </xf>
    <xf borderId="0" fillId="0" fontId="9" numFmtId="0" xfId="0" applyAlignment="1" applyFont="1">
      <alignment horizontal="center"/>
    </xf>
    <xf borderId="0" fillId="0" fontId="9" numFmtId="0" xfId="0" applyAlignment="1" applyFont="1">
      <alignment horizontal="center" readingOrder="0"/>
    </xf>
    <xf borderId="5" fillId="0" fontId="2" numFmtId="0" xfId="0" applyAlignment="1" applyBorder="1" applyFont="1">
      <alignment horizontal="center"/>
    </xf>
    <xf borderId="0" fillId="0" fontId="2" numFmtId="0" xfId="0" applyAlignment="1" applyFont="1">
      <alignment horizontal="center"/>
    </xf>
    <xf borderId="0" fillId="0" fontId="2" numFmtId="165" xfId="0" applyAlignment="1" applyFont="1" applyNumberFormat="1">
      <alignment horizontal="center"/>
    </xf>
    <xf borderId="5" fillId="0" fontId="2" numFmtId="166" xfId="0" applyAlignment="1" applyBorder="1" applyFont="1" applyNumberFormat="1">
      <alignment horizontal="center"/>
    </xf>
    <xf borderId="5" fillId="0" fontId="2" numFmtId="167" xfId="0" applyAlignment="1" applyBorder="1" applyFont="1" applyNumberFormat="1">
      <alignment horizontal="center"/>
    </xf>
    <xf borderId="0" fillId="0" fontId="2" numFmtId="1" xfId="0" applyAlignment="1" applyFont="1" applyNumberFormat="1">
      <alignment horizontal="center"/>
    </xf>
    <xf borderId="5" fillId="0" fontId="2" numFmtId="1" xfId="0" applyAlignment="1" applyBorder="1" applyFont="1" applyNumberFormat="1">
      <alignment horizontal="center"/>
    </xf>
    <xf borderId="5" fillId="0" fontId="2" numFmtId="168" xfId="0" applyAlignment="1" applyBorder="1" applyFont="1" applyNumberFormat="1">
      <alignment horizontal="center"/>
    </xf>
    <xf borderId="5" fillId="0" fontId="2" numFmtId="165" xfId="0" applyAlignment="1" applyBorder="1" applyFont="1" applyNumberFormat="1">
      <alignment horizontal="center"/>
    </xf>
    <xf borderId="5" fillId="0" fontId="2" numFmtId="2" xfId="0" applyAlignment="1" applyBorder="1" applyFont="1" applyNumberFormat="1">
      <alignment horizontal="center" readingOrder="0"/>
    </xf>
    <xf borderId="0" fillId="0" fontId="2" numFmtId="10" xfId="0" applyAlignment="1" applyFont="1" applyNumberFormat="1">
      <alignment horizontal="center"/>
    </xf>
    <xf borderId="0" fillId="0" fontId="2" numFmtId="168" xfId="0" applyAlignment="1" applyFont="1" applyNumberFormat="1">
      <alignment horizontal="center"/>
    </xf>
    <xf borderId="0" fillId="0" fontId="4" numFmtId="164" xfId="0" applyAlignment="1" applyFont="1" applyNumberFormat="1">
      <alignment horizontal="right" vertical="bottom"/>
    </xf>
    <xf borderId="13" fillId="2" fontId="9" numFmtId="0" xfId="0" applyAlignment="1" applyBorder="1" applyFont="1">
      <alignment horizontal="center" readingOrder="0"/>
    </xf>
    <xf borderId="0" fillId="0" fontId="2" numFmtId="0" xfId="0" applyAlignment="1" applyFont="1">
      <alignment horizontal="center"/>
    </xf>
    <xf borderId="12" fillId="0" fontId="2" numFmtId="167" xfId="0" applyAlignment="1" applyBorder="1" applyFont="1" applyNumberFormat="1">
      <alignment horizontal="center"/>
    </xf>
    <xf borderId="12" fillId="0" fontId="2" numFmtId="2" xfId="0" applyAlignment="1" applyBorder="1" applyFont="1" applyNumberFormat="1">
      <alignment horizontal="center" readingOrder="0"/>
    </xf>
    <xf borderId="0" fillId="0" fontId="2" numFmtId="0" xfId="0" applyFont="1"/>
    <xf borderId="0" fillId="13" fontId="2" numFmtId="0" xfId="0" applyFill="1" applyFont="1"/>
    <xf borderId="0" fillId="0" fontId="13" numFmtId="0" xfId="0" applyAlignment="1" applyFont="1">
      <alignment readingOrder="0"/>
    </xf>
    <xf borderId="0" fillId="0" fontId="14" numFmtId="0" xfId="0" applyAlignment="1" applyFont="1">
      <alignment readingOrder="0"/>
    </xf>
    <xf borderId="0" fillId="13" fontId="2" numFmtId="0" xfId="0" applyAlignment="1" applyFont="1">
      <alignment horizontal="center" readingOrder="0"/>
    </xf>
    <xf borderId="0" fillId="13" fontId="2" numFmtId="0" xfId="0" applyAlignment="1" applyFont="1">
      <alignment horizontal="center"/>
    </xf>
    <xf borderId="0" fillId="13" fontId="2" numFmtId="0" xfId="0" applyAlignment="1" applyFont="1">
      <alignment readingOrder="0"/>
    </xf>
    <xf borderId="0" fillId="2" fontId="15" numFmtId="0" xfId="0" applyAlignment="1" applyFont="1">
      <alignment horizontal="center" readingOrder="0"/>
    </xf>
    <xf borderId="0" fillId="14" fontId="4" numFmtId="0" xfId="0" applyAlignment="1" applyFill="1" applyFont="1">
      <alignment vertical="bottom"/>
    </xf>
    <xf borderId="0" fillId="14" fontId="4" numFmtId="0" xfId="0" applyAlignment="1" applyFont="1">
      <alignment horizontal="right" readingOrder="0" vertical="bottom"/>
    </xf>
    <xf borderId="0" fillId="0" fontId="2" numFmtId="0" xfId="0" applyAlignment="1" applyFont="1">
      <alignment horizontal="center" readingOrder="0"/>
    </xf>
    <xf borderId="0" fillId="14" fontId="4" numFmtId="0" xfId="0" applyAlignment="1" applyFont="1">
      <alignment horizontal="right" vertical="bottom"/>
    </xf>
    <xf borderId="0" fillId="0" fontId="4" numFmtId="2" xfId="0" applyAlignment="1" applyFont="1" applyNumberFormat="1">
      <alignment horizontal="right" vertical="bottom"/>
    </xf>
    <xf borderId="12" fillId="9" fontId="9" numFmtId="0" xfId="0" applyAlignment="1" applyBorder="1" applyFont="1">
      <alignment horizontal="center" readingOrder="0"/>
    </xf>
    <xf borderId="5" fillId="0" fontId="16" numFmtId="0" xfId="0" applyAlignment="1" applyBorder="1" applyFont="1">
      <alignment horizontal="left" readingOrder="0"/>
    </xf>
    <xf borderId="0" fillId="0" fontId="4" numFmtId="166" xfId="0" applyAlignment="1" applyFont="1" applyNumberFormat="1">
      <alignment horizontal="right" vertical="bottom"/>
    </xf>
    <xf borderId="0" fillId="0" fontId="4" numFmtId="166" xfId="0" applyAlignment="1" applyFont="1" applyNumberFormat="1">
      <alignment horizontal="right" readingOrder="0" vertical="bottom"/>
    </xf>
    <xf borderId="0" fillId="14" fontId="4" numFmtId="0" xfId="0" applyAlignment="1" applyFont="1">
      <alignment readingOrder="0" vertical="bottom"/>
    </xf>
    <xf borderId="0" fillId="14" fontId="4" numFmtId="2" xfId="0" applyAlignment="1" applyFont="1" applyNumberFormat="1">
      <alignment horizontal="right" readingOrder="0" vertical="bottom"/>
    </xf>
    <xf borderId="5" fillId="0" fontId="8" numFmtId="0" xfId="0" applyAlignment="1" applyBorder="1" applyFont="1">
      <alignment vertical="bottom"/>
    </xf>
    <xf borderId="5" fillId="0" fontId="4" numFmtId="0" xfId="0" applyAlignment="1" applyBorder="1" applyFont="1">
      <alignment vertical="bottom"/>
    </xf>
    <xf borderId="5" fillId="0" fontId="4" numFmtId="0" xfId="0" applyAlignment="1" applyBorder="1" applyFont="1">
      <alignment horizontal="right" vertical="bottom"/>
    </xf>
    <xf borderId="5" fillId="0" fontId="2" numFmtId="164" xfId="0" applyAlignment="1" applyBorder="1" applyFont="1" applyNumberFormat="1">
      <alignment horizontal="center" readingOrder="0"/>
    </xf>
    <xf borderId="5" fillId="14" fontId="4" numFmtId="0" xfId="0" applyAlignment="1" applyBorder="1" applyFont="1">
      <alignment vertical="bottom"/>
    </xf>
    <xf borderId="5" fillId="14" fontId="4" numFmtId="0" xfId="0" applyAlignment="1" applyBorder="1" applyFont="1">
      <alignment horizontal="right" vertical="bottom"/>
    </xf>
    <xf borderId="12" fillId="0" fontId="17" numFmtId="0" xfId="0" applyAlignment="1" applyBorder="1" applyFont="1">
      <alignment horizontal="left" readingOrder="0"/>
    </xf>
    <xf borderId="12" fillId="0" fontId="2" numFmtId="164" xfId="0" applyAlignment="1" applyBorder="1" applyFont="1" applyNumberFormat="1">
      <alignment horizontal="center" readingOrder="0"/>
    </xf>
    <xf borderId="12" fillId="15" fontId="2" numFmtId="0" xfId="0" applyAlignment="1" applyBorder="1" applyFill="1" applyFont="1">
      <alignment horizontal="center" readingOrder="0"/>
    </xf>
    <xf borderId="12" fillId="15" fontId="2" numFmtId="2" xfId="0" applyAlignment="1" applyBorder="1" applyFont="1" applyNumberFormat="1">
      <alignment horizontal="center"/>
    </xf>
    <xf borderId="12" fillId="15" fontId="2" numFmtId="2" xfId="0" applyAlignment="1" applyBorder="1" applyFont="1" applyNumberFormat="1">
      <alignment horizontal="center" readingOrder="0"/>
    </xf>
    <xf borderId="12" fillId="15" fontId="2" numFmtId="164" xfId="0" applyAlignment="1" applyBorder="1" applyFont="1" applyNumberFormat="1">
      <alignment horizontal="center"/>
    </xf>
    <xf borderId="0" fillId="14" fontId="2" numFmtId="0" xfId="0" applyFont="1"/>
    <xf borderId="0" fillId="14" fontId="2" numFmtId="0" xfId="0" applyAlignment="1" applyFont="1">
      <alignment readingOrder="0"/>
    </xf>
    <xf borderId="0" fillId="0" fontId="2" numFmtId="171" xfId="0" applyAlignment="1" applyFont="1" applyNumberFormat="1">
      <alignment readingOrder="0"/>
    </xf>
    <xf borderId="0" fillId="0" fontId="2" numFmtId="164" xfId="0" applyAlignment="1" applyFont="1" applyNumberFormat="1">
      <alignment readingOrder="0"/>
    </xf>
    <xf borderId="0" fillId="16" fontId="2" numFmtId="0" xfId="0" applyAlignment="1" applyFill="1" applyFont="1">
      <alignment readingOrder="0"/>
    </xf>
    <xf borderId="0" fillId="0" fontId="9" numFmtId="0" xfId="0" applyAlignment="1" applyFont="1">
      <alignment readingOrder="0"/>
    </xf>
    <xf borderId="0" fillId="0" fontId="2" numFmtId="0" xfId="0" applyAlignment="1" applyFont="1">
      <alignment horizontal="right" readingOrder="0"/>
    </xf>
    <xf borderId="0" fillId="0" fontId="2" numFmtId="0" xfId="0" applyAlignment="1" applyFont="1">
      <alignment readingOrder="0" shrinkToFit="0" wrapText="1"/>
    </xf>
    <xf borderId="0" fillId="0" fontId="2" numFmtId="0" xfId="0" applyAlignment="1" applyFont="1">
      <alignment shrinkToFit="0" wrapText="1"/>
    </xf>
    <xf borderId="0" fillId="0" fontId="2" numFmtId="168" xfId="0" applyFont="1" applyNumberFormat="1"/>
    <xf borderId="0" fillId="0" fontId="2" numFmtId="10" xfId="0" applyFont="1" applyNumberFormat="1"/>
    <xf borderId="0" fillId="0" fontId="2" numFmtId="172" xfId="0" applyAlignment="1" applyFont="1" applyNumberFormat="1">
      <alignment readingOrder="0"/>
    </xf>
    <xf borderId="0" fillId="0" fontId="2" numFmtId="1" xfId="0" applyAlignment="1" applyFont="1" applyNumberFormat="1">
      <alignment readingOrder="0"/>
    </xf>
    <xf borderId="0" fillId="0" fontId="2" numFmtId="169" xfId="0" applyFont="1" applyNumberFormat="1"/>
    <xf borderId="0" fillId="0" fontId="2" numFmtId="172" xfId="0" applyFont="1" applyNumberFormat="1"/>
    <xf borderId="0" fillId="0" fontId="2" numFmtId="173" xfId="0" applyFont="1" applyNumberFormat="1"/>
    <xf borderId="0" fillId="17" fontId="2" numFmtId="0" xfId="0" applyFill="1" applyFont="1"/>
    <xf borderId="0" fillId="17" fontId="2" numFmtId="0" xfId="0" applyAlignment="1" applyFont="1">
      <alignment readingOrder="0"/>
    </xf>
    <xf borderId="0" fillId="17" fontId="2" numFmtId="173" xfId="0" applyFont="1" applyNumberFormat="1"/>
    <xf borderId="0" fillId="10" fontId="2" numFmtId="1" xfId="0" applyFont="1" applyNumberFormat="1"/>
    <xf borderId="0" fillId="10" fontId="2" numFmtId="164" xfId="0" applyFont="1" applyNumberFormat="1"/>
    <xf borderId="0" fillId="17" fontId="2" numFmtId="164" xfId="0" applyFont="1" applyNumberFormat="1"/>
    <xf borderId="12" fillId="0" fontId="2" numFmtId="10" xfId="0" applyAlignment="1" applyBorder="1" applyFont="1" applyNumberFormat="1">
      <alignment horizontal="center"/>
    </xf>
    <xf borderId="0" fillId="0" fontId="2" numFmtId="10" xfId="0" applyAlignment="1" applyFont="1" applyNumberFormat="1">
      <alignment horizontal="center"/>
    </xf>
    <xf borderId="0" fillId="0" fontId="2" numFmtId="2" xfId="0" applyAlignment="1" applyFont="1" applyNumberFormat="1">
      <alignment horizontal="center"/>
    </xf>
    <xf borderId="27" fillId="0" fontId="3" numFmtId="0" xfId="0" applyBorder="1" applyFont="1"/>
    <xf borderId="12" fillId="18" fontId="2" numFmtId="0" xfId="0" applyAlignment="1" applyBorder="1" applyFill="1" applyFont="1">
      <alignment horizontal="center" readingOrder="0"/>
    </xf>
    <xf borderId="12" fillId="18" fontId="2" numFmtId="0" xfId="0" applyAlignment="1" applyBorder="1" applyFont="1">
      <alignment horizontal="center" readingOrder="0" shrinkToFit="0" wrapText="1"/>
    </xf>
    <xf borderId="12" fillId="0" fontId="2" numFmtId="9" xfId="0" applyAlignment="1" applyBorder="1" applyFont="1" applyNumberFormat="1">
      <alignment horizontal="center" readingOrder="0"/>
    </xf>
    <xf borderId="12" fillId="0" fontId="2" numFmtId="168" xfId="0" applyAlignment="1" applyBorder="1" applyFont="1" applyNumberFormat="1">
      <alignment horizontal="center"/>
    </xf>
    <xf borderId="13" fillId="0" fontId="2" numFmtId="0" xfId="0" applyAlignment="1" applyBorder="1" applyFont="1">
      <alignment horizontal="right" readingOrder="0"/>
    </xf>
    <xf borderId="12" fillId="14" fontId="2" numFmtId="0" xfId="0" applyAlignment="1" applyBorder="1" applyFont="1">
      <alignment horizontal="right" readingOrder="0"/>
    </xf>
    <xf borderId="12" fillId="0" fontId="2" numFmtId="0" xfId="0" applyAlignment="1" applyBorder="1" applyFont="1">
      <alignment horizontal="right" readingOrder="0"/>
    </xf>
    <xf borderId="12" fillId="14" fontId="2" numFmtId="2" xfId="0" applyAlignment="1" applyBorder="1" applyFont="1" applyNumberFormat="1">
      <alignment horizontal="center"/>
    </xf>
    <xf borderId="12" fillId="0" fontId="2" numFmtId="10" xfId="0" applyAlignment="1" applyBorder="1" applyFont="1" applyNumberFormat="1">
      <alignment horizontal="center" readingOrder="0"/>
    </xf>
    <xf borderId="0" fillId="0" fontId="2" numFmtId="0" xfId="0" applyAlignment="1" applyFont="1">
      <alignment horizontal="center" readingOrder="0" shrinkToFit="0" wrapText="1"/>
    </xf>
    <xf borderId="0" fillId="0" fontId="2" numFmtId="170" xfId="0" applyAlignment="1" applyFont="1" applyNumberFormat="1">
      <alignment horizontal="center"/>
    </xf>
    <xf borderId="0" fillId="0" fontId="2" numFmtId="166" xfId="0" applyAlignment="1" applyFont="1" applyNumberFormat="1">
      <alignment horizontal="center"/>
    </xf>
    <xf borderId="0" fillId="0" fontId="2" numFmtId="0" xfId="0" applyAlignment="1" applyFont="1">
      <alignment readingOrder="0"/>
    </xf>
    <xf borderId="0" fillId="19" fontId="2" numFmtId="0" xfId="0" applyAlignment="1" applyFill="1" applyFont="1">
      <alignment readingOrder="0"/>
    </xf>
    <xf borderId="0" fillId="5" fontId="9" numFmtId="0" xfId="0" applyFont="1"/>
    <xf borderId="0" fillId="5" fontId="9" numFmtId="0" xfId="0" applyAlignment="1" applyFont="1">
      <alignment readingOrder="0"/>
    </xf>
    <xf borderId="0" fillId="6" fontId="4" numFmtId="0" xfId="0" applyAlignment="1" applyFont="1">
      <alignment horizontal="right" readingOrder="0" vertical="bottom"/>
    </xf>
    <xf borderId="0" fillId="0" fontId="2" numFmtId="1" xfId="0" applyFont="1" applyNumberFormat="1"/>
    <xf borderId="0" fillId="6" fontId="2" numFmtId="1" xfId="0" applyFont="1" applyNumberFormat="1"/>
    <xf borderId="0" fillId="6" fontId="2" numFmtId="0" xfId="0" applyAlignment="1" applyFont="1">
      <alignment horizontal="center" readingOrder="0"/>
    </xf>
    <xf borderId="0" fillId="2" fontId="2" numFmtId="0" xfId="0" applyAlignment="1" applyFont="1">
      <alignment readingOrder="0"/>
    </xf>
    <xf borderId="0" fillId="2" fontId="2" numFmtId="169" xfId="0" applyFont="1" applyNumberFormat="1"/>
    <xf borderId="0" fillId="2" fontId="2" numFmtId="0" xfId="0" applyFont="1"/>
    <xf borderId="0" fillId="14" fontId="2" numFmtId="1" xfId="0" applyFont="1" applyNumberFormat="1"/>
    <xf borderId="0" fillId="14" fontId="2" numFmtId="0" xfId="0" applyAlignment="1" applyFont="1">
      <alignment horizontal="center" readingOrder="0"/>
    </xf>
    <xf borderId="0" fillId="0" fontId="2" numFmtId="169" xfId="0" applyAlignment="1" applyFont="1" applyNumberFormat="1">
      <alignment readingOrder="0"/>
    </xf>
  </cellXfs>
  <cellStyles count="1">
    <cellStyle xfId="0" name="Normal" builtinId="0"/>
  </cellStyles>
  <dxfs count="6">
    <dxf>
      <font/>
      <fill>
        <patternFill patternType="none"/>
      </fill>
      <border/>
    </dxf>
    <dxf>
      <font/>
      <fill>
        <patternFill patternType="solid">
          <fgColor rgb="FFC9DAF8"/>
          <bgColor rgb="FFC9DAF8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  <dxf>
      <font/>
      <fill>
        <patternFill patternType="solid">
          <fgColor rgb="FFBDBDBD"/>
          <bgColor rgb="FFBDBDBD"/>
        </patternFill>
      </fill>
      <border/>
    </dxf>
    <dxf>
      <font/>
      <fill>
        <patternFill patternType="solid">
          <fgColor rgb="FFB7E1CD"/>
          <bgColor rgb="FFB7E1CD"/>
        </patternFill>
      </fill>
      <border/>
    </dxf>
  </dxfs>
  <tableStyles count="7">
    <tableStyle count="3" pivot="0" name="STEP 2-style">
      <tableStyleElement dxfId="1" type="headerRow"/>
      <tableStyleElement dxfId="2" type="firstRowStripe"/>
      <tableStyleElement dxfId="3" type="secondRowStripe"/>
    </tableStyle>
    <tableStyle count="3" pivot="0" name="STEP 3-style">
      <tableStyleElement dxfId="4" type="headerRow"/>
      <tableStyleElement dxfId="2" type="firstRowStripe"/>
      <tableStyleElement dxfId="3" type="secondRowStripe"/>
    </tableStyle>
    <tableStyle count="3" pivot="0" name="STEP 3-style 2">
      <tableStyleElement dxfId="4" type="headerRow"/>
      <tableStyleElement dxfId="2" type="firstRowStripe"/>
      <tableStyleElement dxfId="3" type="secondRowStripe"/>
    </tableStyle>
    <tableStyle count="3" pivot="0" name="STEP 3 for each FIN-style">
      <tableStyleElement dxfId="4" type="headerRow"/>
      <tableStyleElement dxfId="2" type="firstRowStripe"/>
      <tableStyleElement dxfId="3" type="secondRowStripe"/>
    </tableStyle>
    <tableStyle count="3" pivot="0" name="Backup of Step 3-style">
      <tableStyleElement dxfId="4" type="headerRow"/>
      <tableStyleElement dxfId="2" type="firstRowStripe"/>
      <tableStyleElement dxfId="3" type="secondRowStripe"/>
    </tableStyle>
    <tableStyle count="3" pivot="0" name="Backup of Step 3-style 2">
      <tableStyleElement dxfId="4" type="headerRow"/>
      <tableStyleElement dxfId="2" type="firstRowStripe"/>
      <tableStyleElement dxfId="3" type="secondRowStripe"/>
    </tableStyle>
    <tableStyle count="3" pivot="0" name="Backup of Step 3-style 3">
      <tableStyleElement dxfId="4" type="headerRow"/>
      <tableStyleElement dxfId="2" type="firstRowStripe"/>
      <tableStyleElement dxfId="3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7.xml"/><Relationship Id="rId10" Type="http://schemas.openxmlformats.org/officeDocument/2006/relationships/worksheet" Target="worksheets/sheet6.xml"/><Relationship Id="rId13" Type="http://schemas.openxmlformats.org/officeDocument/2006/relationships/worksheet" Target="worksheets/sheet9.xml"/><Relationship Id="rId12" Type="http://schemas.openxmlformats.org/officeDocument/2006/relationships/worksheet" Target="worksheets/sheet8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microsoft.com/office/2017/10/relationships/person" Target="persons/person.xml"/><Relationship Id="rId9" Type="http://schemas.openxmlformats.org/officeDocument/2006/relationships/worksheet" Target="worksheets/sheet5.xml"/><Relationship Id="rId15" Type="http://schemas.openxmlformats.org/officeDocument/2006/relationships/worksheet" Target="worksheets/sheet11.xml"/><Relationship Id="rId14" Type="http://schemas.openxmlformats.org/officeDocument/2006/relationships/worksheet" Target="worksheets/sheet10.xml"/><Relationship Id="rId17" Type="http://schemas.openxmlformats.org/officeDocument/2006/relationships/worksheet" Target="worksheets/sheet13.xml"/><Relationship Id="rId16" Type="http://schemas.openxmlformats.org/officeDocument/2006/relationships/worksheet" Target="worksheets/sheet12.xml"/><Relationship Id="rId5" Type="http://schemas.openxmlformats.org/officeDocument/2006/relationships/worksheet" Target="worksheets/sheet1.xml"/><Relationship Id="rId6" Type="http://schemas.openxmlformats.org/officeDocument/2006/relationships/worksheet" Target="worksheets/sheet2.xml"/><Relationship Id="rId7" Type="http://schemas.openxmlformats.org/officeDocument/2006/relationships/worksheet" Target="worksheets/sheet3.xml"/><Relationship Id="rId8" Type="http://schemas.openxmlformats.org/officeDocument/2006/relationships/worksheet" Target="worksheets/sheet4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Instantaneous Load (kW) vs. Time of Day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'STEP 2'!$G$3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'STEP 2'!$B$4:$B$99</c:f>
            </c:strRef>
          </c:cat>
          <c:val>
            <c:numRef>
              <c:f>'STEP 2'!$G$4:$G$99</c:f>
              <c:numCache/>
            </c:numRef>
          </c:val>
          <c:smooth val="0"/>
        </c:ser>
        <c:ser>
          <c:idx val="1"/>
          <c:order val="1"/>
          <c:tx>
            <c:strRef>
              <c:f>'STEP 2'!$H$3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'STEP 2'!$B$4:$B$99</c:f>
            </c:strRef>
          </c:cat>
          <c:val>
            <c:numRef>
              <c:f>'STEP 2'!$H$4:$H$99</c:f>
              <c:numCache/>
            </c:numRef>
          </c:val>
          <c:smooth val="0"/>
        </c:ser>
        <c:axId val="122380818"/>
        <c:axId val="274212334"/>
      </c:lineChart>
      <c:catAx>
        <c:axId val="12238081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 of Day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74212334"/>
      </c:catAx>
      <c:valAx>
        <c:axId val="27421233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Instantaneous Load (kW)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22380818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10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Front surface temp and Back surface temp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XX!$D$54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XX!$C$55:$C$64</c:f>
            </c:strRef>
          </c:cat>
          <c:val>
            <c:numRef>
              <c:f>XX!$D$55:$D$64</c:f>
              <c:numCache/>
            </c:numRef>
          </c:val>
          <c:smooth val="0"/>
        </c:ser>
        <c:ser>
          <c:idx val="1"/>
          <c:order val="1"/>
          <c:tx>
            <c:strRef>
              <c:f>XX!$E$54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XX!$C$55:$C$64</c:f>
            </c:strRef>
          </c:cat>
          <c:val>
            <c:numRef>
              <c:f>XX!$E$55:$E$64</c:f>
              <c:numCache/>
            </c:numRef>
          </c:val>
          <c:smooth val="0"/>
        </c:ser>
        <c:axId val="369511589"/>
        <c:axId val="1379412249"/>
      </c:lineChart>
      <c:catAx>
        <c:axId val="36951158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 (minutes)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379412249"/>
      </c:catAx>
      <c:valAx>
        <c:axId val="1379412249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369511589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Instantaneous Load (kW) vs. Time of Day</a:t>
            </a:r>
          </a:p>
        </c:rich>
      </c:tx>
      <c:overlay val="0"/>
    </c:title>
    <c:plotArea>
      <c:layout/>
      <c:lineChart>
        <c:varyColors val="0"/>
        <c:ser>
          <c:idx val="0"/>
          <c:order val="0"/>
          <c:tx>
            <c:strRef>
              <c:f>'STEP 2'!$G$3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'STEP 2'!$B$4:$B$99</c:f>
            </c:strRef>
          </c:cat>
          <c:val>
            <c:numRef>
              <c:f>'STEP 2'!$G$4:$G$99</c:f>
              <c:numCache/>
            </c:numRef>
          </c:val>
          <c:smooth val="0"/>
        </c:ser>
        <c:axId val="556250809"/>
        <c:axId val="875003637"/>
      </c:lineChart>
      <c:catAx>
        <c:axId val="55625080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Time of Day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875003637"/>
      </c:catAx>
      <c:valAx>
        <c:axId val="87500363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Instantaneous Load (kW)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556250809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Provided Outlet Temperature (C) and Required Outlet Temperature (C)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'STEP 3'!$Z$37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'STEP 3'!$Y$38:$Y$48</c:f>
            </c:strRef>
          </c:cat>
          <c:val>
            <c:numRef>
              <c:f>'STEP 3'!$Z$38:$Z$48</c:f>
              <c:numCache/>
            </c:numRef>
          </c:val>
          <c:smooth val="0"/>
        </c:ser>
        <c:ser>
          <c:idx val="1"/>
          <c:order val="1"/>
          <c:tx>
            <c:strRef>
              <c:f>'STEP 3'!$AA$37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'STEP 3'!$Y$38:$Y$48</c:f>
            </c:strRef>
          </c:cat>
          <c:val>
            <c:numRef>
              <c:f>'STEP 3'!$AA$38:$AA$48</c:f>
              <c:numCache/>
            </c:numRef>
          </c:val>
          <c:smooth val="0"/>
        </c:ser>
        <c:axId val="1849909979"/>
        <c:axId val="2127486158"/>
      </c:lineChart>
      <c:catAx>
        <c:axId val="184990997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Flow rate (CFM)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127486158"/>
      </c:catAx>
      <c:valAx>
        <c:axId val="212748615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849909979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Airflow vs. Layers of Ice</a:t>
            </a:r>
          </a:p>
        </c:rich>
      </c:tx>
      <c:layout>
        <c:manualLayout>
          <c:xMode val="edge"/>
          <c:yMode val="edge"/>
          <c:x val="0.027583333333333335"/>
          <c:y val="0.05"/>
        </c:manualLayout>
      </c:layout>
      <c:overlay val="0"/>
    </c:title>
    <c:plotArea>
      <c:layout/>
      <c:lineChart>
        <c:varyColors val="0"/>
        <c:ser>
          <c:idx val="0"/>
          <c:order val="0"/>
          <c:tx>
            <c:strRef>
              <c:f>'FIN SHOPPING'!$I$26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'FIN SHOPPING'!$H$27:$H$31</c:f>
            </c:strRef>
          </c:cat>
          <c:val>
            <c:numRef>
              <c:f>'FIN SHOPPING'!$I$27:$I$31</c:f>
              <c:numCache/>
            </c:numRef>
          </c:val>
          <c:smooth val="0"/>
        </c:ser>
        <c:axId val="913817073"/>
        <c:axId val="1958640007"/>
      </c:lineChart>
      <c:catAx>
        <c:axId val="91381707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Layers of Ice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58640007"/>
      </c:catAx>
      <c:valAx>
        <c:axId val="1958640007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Air flow (CFM)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913817073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Brake horsepower vs. Flow rate CFM</a:t>
            </a:r>
          </a:p>
        </c:rich>
      </c:tx>
      <c:overlay val="0"/>
    </c:title>
    <c:plotArea>
      <c:layout/>
      <c:scatterChart>
        <c:scatterStyle val="lineMarker"/>
        <c:varyColors val="0"/>
        <c:ser>
          <c:idx val="0"/>
          <c:order val="0"/>
          <c:tx>
            <c:strRef>
              <c:f>'STEP 4'!$F$13</c:f>
            </c:strRef>
          </c:tx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xVal>
            <c:numRef>
              <c:f>'STEP 4'!$E$14:$E$28</c:f>
            </c:numRef>
          </c:xVal>
          <c:yVal>
            <c:numRef>
              <c:f>'STEP 4'!$F$14:$F$28</c:f>
              <c:numCache/>
            </c:numRef>
          </c:y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57608370"/>
        <c:axId val="1702806814"/>
      </c:scatterChart>
      <c:valAx>
        <c:axId val="2057608370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Flow rate CFM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702806814"/>
      </c:valAx>
      <c:valAx>
        <c:axId val="170280681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Brake horsepower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57608370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System and Fan Pressure Drop Curve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'Pressure Drop Calcs'!$D$25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'Pressure Drop Calcs'!$B$26:$B$36</c:f>
            </c:strRef>
          </c:cat>
          <c:val>
            <c:numRef>
              <c:f>'Pressure Drop Calcs'!$D$26:$D$36</c:f>
              <c:numCache/>
            </c:numRef>
          </c:val>
          <c:smooth val="0"/>
        </c:ser>
        <c:ser>
          <c:idx val="1"/>
          <c:order val="1"/>
          <c:tx>
            <c:strRef>
              <c:f>'Pressure Drop Calcs'!$E$25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'Pressure Drop Calcs'!$B$26:$B$36</c:f>
            </c:strRef>
          </c:cat>
          <c:val>
            <c:numRef>
              <c:f>'Pressure Drop Calcs'!$E$26:$E$36</c:f>
              <c:numCache/>
            </c:numRef>
          </c:val>
          <c:smooth val="0"/>
        </c:ser>
        <c:axId val="373641137"/>
        <c:axId val="930712155"/>
      </c:lineChart>
      <c:catAx>
        <c:axId val="37364113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Volumetric Flow Rate  (CFM)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930712155"/>
      </c:catAx>
      <c:valAx>
        <c:axId val="93071215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Pressure Drop (in Water Column)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373641137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7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Provided Outlet Temperature (C) and Required Outlet Temperature (C)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'Backup of Step 3'!$Z$22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'Backup of Step 3'!$Y$23:$Y$35</c:f>
            </c:strRef>
          </c:cat>
          <c:val>
            <c:numRef>
              <c:f>'Backup of Step 3'!$Z$23:$Z$35</c:f>
              <c:numCache/>
            </c:numRef>
          </c:val>
          <c:smooth val="0"/>
        </c:ser>
        <c:ser>
          <c:idx val="1"/>
          <c:order val="1"/>
          <c:tx>
            <c:strRef>
              <c:f>'Backup of Step 3'!$AA$22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'Backup of Step 3'!$Y$23:$Y$35</c:f>
            </c:strRef>
          </c:cat>
          <c:val>
            <c:numRef>
              <c:f>'Backup of Step 3'!$AA$23:$AA$35</c:f>
              <c:numCache/>
            </c:numRef>
          </c:val>
          <c:smooth val="0"/>
        </c:ser>
        <c:axId val="1090577925"/>
        <c:axId val="420170144"/>
      </c:lineChart>
      <c:catAx>
        <c:axId val="109057792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Flow rate (CFM)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420170144"/>
      </c:catAx>
      <c:valAx>
        <c:axId val="42017014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09057792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8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Provided Outlet Temperature (C) and Required Outlet Temperature (C)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'Backup of Step 3'!$Z$50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'Backup of Step 3'!$Y$51:$Y$61</c:f>
            </c:strRef>
          </c:cat>
          <c:val>
            <c:numRef>
              <c:f>'Backup of Step 3'!$Z$51:$Z$61</c:f>
              <c:numCache/>
            </c:numRef>
          </c:val>
          <c:smooth val="0"/>
        </c:ser>
        <c:ser>
          <c:idx val="1"/>
          <c:order val="1"/>
          <c:tx>
            <c:strRef>
              <c:f>'Backup of Step 3'!$AA$50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'Backup of Step 3'!$Y$51:$Y$61</c:f>
            </c:strRef>
          </c:cat>
          <c:val>
            <c:numRef>
              <c:f>'Backup of Step 3'!$AA$51:$AA$61</c:f>
              <c:numCache/>
            </c:numRef>
          </c:val>
          <c:smooth val="0"/>
        </c:ser>
        <c:axId val="1170895670"/>
        <c:axId val="1540926025"/>
      </c:lineChart>
      <c:catAx>
        <c:axId val="117089567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Flow rate (CFM)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540926025"/>
      </c:catAx>
      <c:valAx>
        <c:axId val="154092602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70895670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9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Provided Outlet Temperature (C) and Required Outlet Temperature (C)</a:t>
            </a:r>
          </a:p>
        </c:rich>
      </c:tx>
      <c:overlay val="0"/>
    </c:title>
    <c:plotArea>
      <c:layout/>
      <c:lineChart>
        <c:ser>
          <c:idx val="0"/>
          <c:order val="0"/>
          <c:tx>
            <c:strRef>
              <c:f>'Backup of Step 3'!$AF$86</c:f>
            </c:strRef>
          </c:tx>
          <c:spPr>
            <a:ln cmpd="sng">
              <a:solidFill>
                <a:srgbClr val="4285F4"/>
              </a:solidFill>
            </a:ln>
          </c:spPr>
          <c:marker>
            <c:symbol val="none"/>
          </c:marker>
          <c:cat>
            <c:strRef>
              <c:f>'Backup of Step 3'!$AE$87:$AE$96</c:f>
            </c:strRef>
          </c:cat>
          <c:val>
            <c:numRef>
              <c:f>'Backup of Step 3'!$AF$87:$AF$96</c:f>
              <c:numCache/>
            </c:numRef>
          </c:val>
          <c:smooth val="0"/>
        </c:ser>
        <c:ser>
          <c:idx val="1"/>
          <c:order val="1"/>
          <c:tx>
            <c:strRef>
              <c:f>'Backup of Step 3'!$AG$86</c:f>
            </c:strRef>
          </c:tx>
          <c:spPr>
            <a:ln cmpd="sng">
              <a:solidFill>
                <a:srgbClr val="EA4335"/>
              </a:solidFill>
            </a:ln>
          </c:spPr>
          <c:marker>
            <c:symbol val="none"/>
          </c:marker>
          <c:cat>
            <c:strRef>
              <c:f>'Backup of Step 3'!$AE$87:$AE$96</c:f>
            </c:strRef>
          </c:cat>
          <c:val>
            <c:numRef>
              <c:f>'Backup of Step 3'!$AG$87:$AG$96</c:f>
              <c:numCache/>
            </c:numRef>
          </c:val>
          <c:smooth val="0"/>
        </c:ser>
        <c:axId val="270467891"/>
        <c:axId val="1992226836"/>
      </c:lineChart>
      <c:catAx>
        <c:axId val="27046789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Flow rate (CFM)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92226836"/>
      </c:catAx>
      <c:valAx>
        <c:axId val="1992226836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Temperature (C)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70467891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0.xml.rels><?xml version="1.0" encoding="UTF-8" standalone="yes"?><Relationships xmlns="http://schemas.openxmlformats.org/package/2006/relationships"><Relationship Id="rId10" Type="http://schemas.openxmlformats.org/officeDocument/2006/relationships/image" Target="../media/image36.png"/><Relationship Id="rId1" Type="http://schemas.openxmlformats.org/officeDocument/2006/relationships/chart" Target="../charts/chart6.xml"/><Relationship Id="rId2" Type="http://schemas.openxmlformats.org/officeDocument/2006/relationships/image" Target="../media/image32.png"/><Relationship Id="rId3" Type="http://schemas.openxmlformats.org/officeDocument/2006/relationships/image" Target="../media/image34.png"/><Relationship Id="rId4" Type="http://schemas.openxmlformats.org/officeDocument/2006/relationships/image" Target="../media/image33.png"/><Relationship Id="rId9" Type="http://schemas.openxmlformats.org/officeDocument/2006/relationships/image" Target="../media/image42.png"/><Relationship Id="rId5" Type="http://schemas.openxmlformats.org/officeDocument/2006/relationships/image" Target="../media/image31.png"/><Relationship Id="rId6" Type="http://schemas.openxmlformats.org/officeDocument/2006/relationships/image" Target="../media/image35.png"/><Relationship Id="rId7" Type="http://schemas.openxmlformats.org/officeDocument/2006/relationships/image" Target="../media/image45.png"/><Relationship Id="rId8" Type="http://schemas.openxmlformats.org/officeDocument/2006/relationships/image" Target="../media/image41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37.png"/><Relationship Id="rId2" Type="http://schemas.openxmlformats.org/officeDocument/2006/relationships/image" Target="../media/image40.png"/><Relationship Id="rId3" Type="http://schemas.openxmlformats.org/officeDocument/2006/relationships/image" Target="../media/image38.png"/><Relationship Id="rId4" Type="http://schemas.openxmlformats.org/officeDocument/2006/relationships/image" Target="../media/image5.png"/></Relationships>
</file>

<file path=xl/drawings/_rels/drawing12.xml.rels><?xml version="1.0" encoding="UTF-8" standalone="yes"?><Relationships xmlns="http://schemas.openxmlformats.org/package/2006/relationships"><Relationship Id="rId11" Type="http://schemas.openxmlformats.org/officeDocument/2006/relationships/image" Target="../media/image8.png"/><Relationship Id="rId10" Type="http://schemas.openxmlformats.org/officeDocument/2006/relationships/image" Target="../media/image13.png"/><Relationship Id="rId13" Type="http://schemas.openxmlformats.org/officeDocument/2006/relationships/image" Target="../media/image2.png"/><Relationship Id="rId12" Type="http://schemas.openxmlformats.org/officeDocument/2006/relationships/image" Target="../media/image1.png"/><Relationship Id="rId1" Type="http://schemas.openxmlformats.org/officeDocument/2006/relationships/chart" Target="../charts/chart7.xml"/><Relationship Id="rId2" Type="http://schemas.openxmlformats.org/officeDocument/2006/relationships/chart" Target="../charts/chart8.xml"/><Relationship Id="rId3" Type="http://schemas.openxmlformats.org/officeDocument/2006/relationships/chart" Target="../charts/chart9.xml"/><Relationship Id="rId4" Type="http://schemas.openxmlformats.org/officeDocument/2006/relationships/image" Target="../media/image17.png"/><Relationship Id="rId9" Type="http://schemas.openxmlformats.org/officeDocument/2006/relationships/image" Target="../media/image6.png"/><Relationship Id="rId15" Type="http://schemas.openxmlformats.org/officeDocument/2006/relationships/image" Target="../media/image3.png"/><Relationship Id="rId14" Type="http://schemas.openxmlformats.org/officeDocument/2006/relationships/image" Target="../media/image4.png"/><Relationship Id="rId16" Type="http://schemas.openxmlformats.org/officeDocument/2006/relationships/image" Target="../media/image7.png"/><Relationship Id="rId5" Type="http://schemas.openxmlformats.org/officeDocument/2006/relationships/image" Target="../media/image11.png"/><Relationship Id="rId6" Type="http://schemas.openxmlformats.org/officeDocument/2006/relationships/image" Target="../media/image9.png"/><Relationship Id="rId7" Type="http://schemas.openxmlformats.org/officeDocument/2006/relationships/image" Target="../media/image12.png"/><Relationship Id="rId8" Type="http://schemas.openxmlformats.org/officeDocument/2006/relationships/image" Target="../media/image10.png"/></Relationships>
</file>

<file path=xl/drawings/_rels/drawing13.xml.rels><?xml version="1.0" encoding="UTF-8" standalone="yes"?><Relationships xmlns="http://schemas.openxmlformats.org/package/2006/relationships"><Relationship Id="rId10" Type="http://schemas.openxmlformats.org/officeDocument/2006/relationships/image" Target="../media/image62.png"/><Relationship Id="rId1" Type="http://schemas.openxmlformats.org/officeDocument/2006/relationships/chart" Target="../charts/chart10.xml"/><Relationship Id="rId2" Type="http://schemas.openxmlformats.org/officeDocument/2006/relationships/image" Target="../media/image57.png"/><Relationship Id="rId3" Type="http://schemas.openxmlformats.org/officeDocument/2006/relationships/image" Target="../media/image64.png"/><Relationship Id="rId4" Type="http://schemas.openxmlformats.org/officeDocument/2006/relationships/image" Target="../media/image58.png"/><Relationship Id="rId9" Type="http://schemas.openxmlformats.org/officeDocument/2006/relationships/image" Target="../media/image61.png"/><Relationship Id="rId5" Type="http://schemas.openxmlformats.org/officeDocument/2006/relationships/image" Target="../media/image60.png"/><Relationship Id="rId6" Type="http://schemas.openxmlformats.org/officeDocument/2006/relationships/image" Target="../media/image55.png"/><Relationship Id="rId7" Type="http://schemas.openxmlformats.org/officeDocument/2006/relationships/image" Target="../media/image66.png"/><Relationship Id="rId8" Type="http://schemas.openxmlformats.org/officeDocument/2006/relationships/image" Target="../media/image56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Relationship Id="rId2" Type="http://schemas.openxmlformats.org/officeDocument/2006/relationships/image" Target="../media/image19.png"/><Relationship Id="rId3" Type="http://schemas.openxmlformats.org/officeDocument/2006/relationships/image" Target="../media/image22.png"/><Relationship Id="rId4" Type="http://schemas.openxmlformats.org/officeDocument/2006/relationships/image" Target="../media/image51.png"/><Relationship Id="rId9" Type="http://schemas.openxmlformats.org/officeDocument/2006/relationships/image" Target="../media/image16.png"/><Relationship Id="rId5" Type="http://schemas.openxmlformats.org/officeDocument/2006/relationships/image" Target="../media/image21.png"/><Relationship Id="rId6" Type="http://schemas.openxmlformats.org/officeDocument/2006/relationships/image" Target="../media/image15.png"/><Relationship Id="rId7" Type="http://schemas.openxmlformats.org/officeDocument/2006/relationships/image" Target="../media/image14.png"/><Relationship Id="rId8" Type="http://schemas.openxmlformats.org/officeDocument/2006/relationships/image" Target="../media/image18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/Relationships>
</file>

<file path=xl/drawings/_rels/drawing5.xml.rels><?xml version="1.0" encoding="UTF-8" standalone="yes"?><Relationships xmlns="http://schemas.openxmlformats.org/package/2006/relationships"><Relationship Id="rId11" Type="http://schemas.openxmlformats.org/officeDocument/2006/relationships/image" Target="../media/image2.png"/><Relationship Id="rId10" Type="http://schemas.openxmlformats.org/officeDocument/2006/relationships/image" Target="../media/image1.png"/><Relationship Id="rId13" Type="http://schemas.openxmlformats.org/officeDocument/2006/relationships/image" Target="../media/image3.png"/><Relationship Id="rId12" Type="http://schemas.openxmlformats.org/officeDocument/2006/relationships/image" Target="../media/image4.png"/><Relationship Id="rId1" Type="http://schemas.openxmlformats.org/officeDocument/2006/relationships/chart" Target="../charts/chart3.xml"/><Relationship Id="rId2" Type="http://schemas.openxmlformats.org/officeDocument/2006/relationships/image" Target="../media/image17.png"/><Relationship Id="rId3" Type="http://schemas.openxmlformats.org/officeDocument/2006/relationships/image" Target="../media/image11.png"/><Relationship Id="rId4" Type="http://schemas.openxmlformats.org/officeDocument/2006/relationships/image" Target="../media/image9.png"/><Relationship Id="rId9" Type="http://schemas.openxmlformats.org/officeDocument/2006/relationships/image" Target="../media/image8.png"/><Relationship Id="rId15" Type="http://schemas.openxmlformats.org/officeDocument/2006/relationships/image" Target="../media/image5.png"/><Relationship Id="rId14" Type="http://schemas.openxmlformats.org/officeDocument/2006/relationships/image" Target="../media/image7.png"/><Relationship Id="rId5" Type="http://schemas.openxmlformats.org/officeDocument/2006/relationships/image" Target="../media/image12.png"/><Relationship Id="rId6" Type="http://schemas.openxmlformats.org/officeDocument/2006/relationships/image" Target="../media/image10.png"/><Relationship Id="rId7" Type="http://schemas.openxmlformats.org/officeDocument/2006/relationships/image" Target="../media/image6.png"/><Relationship Id="rId8" Type="http://schemas.openxmlformats.org/officeDocument/2006/relationships/image" Target="../media/image13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17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chart" Target="../charts/chart4.xml"/><Relationship Id="rId2" Type="http://schemas.openxmlformats.org/officeDocument/2006/relationships/image" Target="../media/image27.png"/><Relationship Id="rId3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4.png"/><Relationship Id="rId5" Type="http://schemas.openxmlformats.org/officeDocument/2006/relationships/image" Target="../media/image26.png"/><Relationship Id="rId6" Type="http://schemas.openxmlformats.org/officeDocument/2006/relationships/image" Target="../media/image25.png"/><Relationship Id="rId7" Type="http://schemas.openxmlformats.org/officeDocument/2006/relationships/image" Target="../media/image30.png"/><Relationship Id="rId8" Type="http://schemas.openxmlformats.org/officeDocument/2006/relationships/image" Target="../media/image28.png"/></Relationships>
</file>

<file path=xl/drawings/_rels/drawing8.xml.rels><?xml version="1.0" encoding="UTF-8" standalone="yes"?><Relationships xmlns="http://schemas.openxmlformats.org/package/2006/relationships"><Relationship Id="rId11" Type="http://schemas.openxmlformats.org/officeDocument/2006/relationships/image" Target="../media/image63.png"/><Relationship Id="rId10" Type="http://schemas.openxmlformats.org/officeDocument/2006/relationships/image" Target="../media/image49.png"/><Relationship Id="rId13" Type="http://schemas.openxmlformats.org/officeDocument/2006/relationships/image" Target="../media/image59.png"/><Relationship Id="rId12" Type="http://schemas.openxmlformats.org/officeDocument/2006/relationships/image" Target="../media/image53.png"/><Relationship Id="rId1" Type="http://schemas.openxmlformats.org/officeDocument/2006/relationships/chart" Target="../charts/chart5.xml"/><Relationship Id="rId2" Type="http://schemas.openxmlformats.org/officeDocument/2006/relationships/image" Target="../media/image48.png"/><Relationship Id="rId3" Type="http://schemas.openxmlformats.org/officeDocument/2006/relationships/image" Target="../media/image54.png"/><Relationship Id="rId4" Type="http://schemas.openxmlformats.org/officeDocument/2006/relationships/image" Target="../media/image65.png"/><Relationship Id="rId9" Type="http://schemas.openxmlformats.org/officeDocument/2006/relationships/image" Target="../media/image32.png"/><Relationship Id="rId15" Type="http://schemas.openxmlformats.org/officeDocument/2006/relationships/image" Target="../media/image33.png"/><Relationship Id="rId14" Type="http://schemas.openxmlformats.org/officeDocument/2006/relationships/image" Target="../media/image44.png"/><Relationship Id="rId17" Type="http://schemas.openxmlformats.org/officeDocument/2006/relationships/image" Target="../media/image52.png"/><Relationship Id="rId16" Type="http://schemas.openxmlformats.org/officeDocument/2006/relationships/image" Target="../media/image31.png"/><Relationship Id="rId5" Type="http://schemas.openxmlformats.org/officeDocument/2006/relationships/image" Target="../media/image45.png"/><Relationship Id="rId6" Type="http://schemas.openxmlformats.org/officeDocument/2006/relationships/image" Target="../media/image43.png"/><Relationship Id="rId18" Type="http://schemas.openxmlformats.org/officeDocument/2006/relationships/image" Target="../media/image50.png"/><Relationship Id="rId7" Type="http://schemas.openxmlformats.org/officeDocument/2006/relationships/image" Target="../media/image46.png"/><Relationship Id="rId8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609600</xdr:colOff>
      <xdr:row>38</xdr:row>
      <xdr:rowOff>76200</xdr:rowOff>
    </xdr:from>
    <xdr:ext cx="5715000" cy="3533775"/>
    <xdr:graphicFrame>
      <xdr:nvGraphicFramePr>
        <xdr:cNvPr id="6" name="Chart 6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16</xdr:col>
      <xdr:colOff>276225</xdr:colOff>
      <xdr:row>0</xdr:row>
      <xdr:rowOff>152400</xdr:rowOff>
    </xdr:from>
    <xdr:ext cx="4876800" cy="4019550"/>
    <xdr:pic>
      <xdr:nvPicPr>
        <xdr:cNvPr id="0" name="image3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476250</xdr:colOff>
      <xdr:row>23</xdr:row>
      <xdr:rowOff>142875</xdr:rowOff>
    </xdr:from>
    <xdr:ext cx="4810125" cy="3990975"/>
    <xdr:pic>
      <xdr:nvPicPr>
        <xdr:cNvPr id="0" name="image3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20</xdr:row>
      <xdr:rowOff>0</xdr:rowOff>
    </xdr:from>
    <xdr:ext cx="4876800" cy="3657600"/>
    <xdr:pic>
      <xdr:nvPicPr>
        <xdr:cNvPr id="0" name="image3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123825</xdr:colOff>
      <xdr:row>39</xdr:row>
      <xdr:rowOff>38100</xdr:rowOff>
    </xdr:from>
    <xdr:ext cx="5257800" cy="704850"/>
    <xdr:pic>
      <xdr:nvPicPr>
        <xdr:cNvPr id="0" name="image3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790575</xdr:colOff>
      <xdr:row>43</xdr:row>
      <xdr:rowOff>104775</xdr:rowOff>
    </xdr:from>
    <xdr:ext cx="4876800" cy="2400300"/>
    <xdr:pic>
      <xdr:nvPicPr>
        <xdr:cNvPr id="0" name="image3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9525</xdr:colOff>
      <xdr:row>42</xdr:row>
      <xdr:rowOff>76200</xdr:rowOff>
    </xdr:from>
    <xdr:ext cx="4876800" cy="3305175"/>
    <xdr:pic>
      <xdr:nvPicPr>
        <xdr:cNvPr id="0" name="image45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57150</xdr:colOff>
      <xdr:row>56</xdr:row>
      <xdr:rowOff>209550</xdr:rowOff>
    </xdr:from>
    <xdr:ext cx="6153150" cy="2638425"/>
    <xdr:pic>
      <xdr:nvPicPr>
        <xdr:cNvPr id="0" name="image4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704850</xdr:colOff>
      <xdr:row>23</xdr:row>
      <xdr:rowOff>180975</xdr:rowOff>
    </xdr:from>
    <xdr:ext cx="4876800" cy="3067050"/>
    <xdr:pic>
      <xdr:nvPicPr>
        <xdr:cNvPr id="0" name="image42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295275</xdr:colOff>
      <xdr:row>1</xdr:row>
      <xdr:rowOff>190500</xdr:rowOff>
    </xdr:from>
    <xdr:ext cx="3743325" cy="4448175"/>
    <xdr:pic>
      <xdr:nvPicPr>
        <xdr:cNvPr id="0" name="image36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142875</xdr:colOff>
      <xdr:row>4</xdr:row>
      <xdr:rowOff>152400</xdr:rowOff>
    </xdr:from>
    <xdr:ext cx="6581775" cy="2562225"/>
    <xdr:pic>
      <xdr:nvPicPr>
        <xdr:cNvPr id="0" name="image3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</xdr:row>
      <xdr:rowOff>0</xdr:rowOff>
    </xdr:from>
    <xdr:ext cx="6257925" cy="3038475"/>
    <xdr:pic>
      <xdr:nvPicPr>
        <xdr:cNvPr id="0" name="image4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18</xdr:row>
      <xdr:rowOff>57150</xdr:rowOff>
    </xdr:from>
    <xdr:ext cx="5724525" cy="1990725"/>
    <xdr:pic>
      <xdr:nvPicPr>
        <xdr:cNvPr id="0" name="image3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</xdr:row>
      <xdr:rowOff>0</xdr:rowOff>
    </xdr:from>
    <xdr:ext cx="2619375" cy="571500"/>
    <xdr:pic>
      <xdr:nvPicPr>
        <xdr:cNvPr id="0" name="image3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</xdr:row>
      <xdr:rowOff>0</xdr:rowOff>
    </xdr:from>
    <xdr:ext cx="2619375" cy="571500"/>
    <xdr:pic>
      <xdr:nvPicPr>
        <xdr:cNvPr id="0" name="image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1952625</xdr:colOff>
      <xdr:row>20</xdr:row>
      <xdr:rowOff>95250</xdr:rowOff>
    </xdr:from>
    <xdr:ext cx="4981575" cy="3067050"/>
    <xdr:graphicFrame>
      <xdr:nvGraphicFramePr>
        <xdr:cNvPr id="7" name="Chart 7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0</xdr:col>
      <xdr:colOff>1781175</xdr:colOff>
      <xdr:row>44</xdr:row>
      <xdr:rowOff>152400</xdr:rowOff>
    </xdr:from>
    <xdr:ext cx="5153025" cy="3219450"/>
    <xdr:graphicFrame>
      <xdr:nvGraphicFramePr>
        <xdr:cNvPr id="8" name="Chart 8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0</xdr:col>
      <xdr:colOff>666750</xdr:colOff>
      <xdr:row>80</xdr:row>
      <xdr:rowOff>76200</xdr:rowOff>
    </xdr:from>
    <xdr:ext cx="5715000" cy="3533775"/>
    <xdr:graphicFrame>
      <xdr:nvGraphicFramePr>
        <xdr:cNvPr id="9" name="Chart 9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4</xdr:col>
      <xdr:colOff>600075</xdr:colOff>
      <xdr:row>3</xdr:row>
      <xdr:rowOff>85725</xdr:rowOff>
    </xdr:from>
    <xdr:ext cx="3371850" cy="2000250"/>
    <xdr:pic>
      <xdr:nvPicPr>
        <xdr:cNvPr id="0" name="image1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190500</xdr:colOff>
      <xdr:row>9</xdr:row>
      <xdr:rowOff>85725</xdr:rowOff>
    </xdr:from>
    <xdr:ext cx="1819275" cy="657225"/>
    <xdr:pic>
      <xdr:nvPicPr>
        <xdr:cNvPr id="0" name="image1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12</xdr:row>
      <xdr:rowOff>142875</xdr:rowOff>
    </xdr:from>
    <xdr:ext cx="6838950" cy="409575"/>
    <xdr:pic>
      <xdr:nvPicPr>
        <xdr:cNvPr id="0" name="image9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142875</xdr:colOff>
      <xdr:row>15</xdr:row>
      <xdr:rowOff>190500</xdr:rowOff>
    </xdr:from>
    <xdr:ext cx="4752975" cy="523875"/>
    <xdr:pic>
      <xdr:nvPicPr>
        <xdr:cNvPr id="0" name="image12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447675</xdr:colOff>
      <xdr:row>16</xdr:row>
      <xdr:rowOff>47625</xdr:rowOff>
    </xdr:from>
    <xdr:ext cx="3524250" cy="600075"/>
    <xdr:pic>
      <xdr:nvPicPr>
        <xdr:cNvPr id="0" name="image10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514350</xdr:colOff>
      <xdr:row>70</xdr:row>
      <xdr:rowOff>57150</xdr:rowOff>
    </xdr:from>
    <xdr:ext cx="3810000" cy="552450"/>
    <xdr:pic>
      <xdr:nvPicPr>
        <xdr:cNvPr id="0" name="image6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371475</xdr:colOff>
      <xdr:row>64</xdr:row>
      <xdr:rowOff>161925</xdr:rowOff>
    </xdr:from>
    <xdr:ext cx="3190875" cy="1000125"/>
    <xdr:pic>
      <xdr:nvPicPr>
        <xdr:cNvPr id="0" name="image13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85725</xdr:colOff>
      <xdr:row>65</xdr:row>
      <xdr:rowOff>152400</xdr:rowOff>
    </xdr:from>
    <xdr:ext cx="1381125" cy="628650"/>
    <xdr:pic>
      <xdr:nvPicPr>
        <xdr:cNvPr id="0" name="image8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266700</xdr:colOff>
      <xdr:row>74</xdr:row>
      <xdr:rowOff>85725</xdr:rowOff>
    </xdr:from>
    <xdr:ext cx="4848225" cy="771525"/>
    <xdr:pic>
      <xdr:nvPicPr>
        <xdr:cNvPr id="0" name="image1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103</xdr:row>
      <xdr:rowOff>123825</xdr:rowOff>
    </xdr:from>
    <xdr:ext cx="3448050" cy="1066800"/>
    <xdr:pic>
      <xdr:nvPicPr>
        <xdr:cNvPr id="0" name="image2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109</xdr:row>
      <xdr:rowOff>161925</xdr:rowOff>
    </xdr:from>
    <xdr:ext cx="3105150" cy="657225"/>
    <xdr:pic>
      <xdr:nvPicPr>
        <xdr:cNvPr id="0" name="image4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66675</xdr:colOff>
      <xdr:row>101</xdr:row>
      <xdr:rowOff>57150</xdr:rowOff>
    </xdr:from>
    <xdr:ext cx="5048250" cy="2181225"/>
    <xdr:pic>
      <xdr:nvPicPr>
        <xdr:cNvPr id="0" name="image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104775</xdr:colOff>
      <xdr:row>101</xdr:row>
      <xdr:rowOff>57150</xdr:rowOff>
    </xdr:from>
    <xdr:ext cx="3057525" cy="2505075"/>
    <xdr:pic>
      <xdr:nvPicPr>
        <xdr:cNvPr id="0" name="image7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28575</xdr:colOff>
      <xdr:row>53</xdr:row>
      <xdr:rowOff>104775</xdr:rowOff>
    </xdr:from>
    <xdr:ext cx="5715000" cy="3533775"/>
    <xdr:graphicFrame>
      <xdr:nvGraphicFramePr>
        <xdr:cNvPr id="10" name="Chart 10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10</xdr:col>
      <xdr:colOff>238125</xdr:colOff>
      <xdr:row>3</xdr:row>
      <xdr:rowOff>142875</xdr:rowOff>
    </xdr:from>
    <xdr:ext cx="4048125" cy="685800"/>
    <xdr:pic>
      <xdr:nvPicPr>
        <xdr:cNvPr id="0" name="image5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295275</xdr:colOff>
      <xdr:row>1</xdr:row>
      <xdr:rowOff>66675</xdr:rowOff>
    </xdr:from>
    <xdr:ext cx="3990975" cy="552450"/>
    <xdr:pic>
      <xdr:nvPicPr>
        <xdr:cNvPr id="0" name="image6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209550</xdr:colOff>
      <xdr:row>2</xdr:row>
      <xdr:rowOff>104775</xdr:rowOff>
    </xdr:from>
    <xdr:ext cx="1028700" cy="609600"/>
    <xdr:pic>
      <xdr:nvPicPr>
        <xdr:cNvPr id="0" name="image5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647700</xdr:colOff>
      <xdr:row>2</xdr:row>
      <xdr:rowOff>38100</xdr:rowOff>
    </xdr:from>
    <xdr:ext cx="2752725" cy="476250"/>
    <xdr:pic>
      <xdr:nvPicPr>
        <xdr:cNvPr id="0" name="image6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219075</xdr:colOff>
      <xdr:row>0</xdr:row>
      <xdr:rowOff>161925</xdr:rowOff>
    </xdr:from>
    <xdr:ext cx="3800475" cy="5181600"/>
    <xdr:pic>
      <xdr:nvPicPr>
        <xdr:cNvPr id="0" name="image5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885825</xdr:colOff>
      <xdr:row>0</xdr:row>
      <xdr:rowOff>200025</xdr:rowOff>
    </xdr:from>
    <xdr:ext cx="4048125" cy="685800"/>
    <xdr:pic>
      <xdr:nvPicPr>
        <xdr:cNvPr id="0" name="image66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504825</xdr:colOff>
      <xdr:row>5</xdr:row>
      <xdr:rowOff>47625</xdr:rowOff>
    </xdr:from>
    <xdr:ext cx="1295400" cy="1038225"/>
    <xdr:pic>
      <xdr:nvPicPr>
        <xdr:cNvPr id="0" name="image56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266700</xdr:colOff>
      <xdr:row>6</xdr:row>
      <xdr:rowOff>171450</xdr:rowOff>
    </xdr:from>
    <xdr:ext cx="2333625" cy="476250"/>
    <xdr:pic>
      <xdr:nvPicPr>
        <xdr:cNvPr id="0" name="image61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95250</xdr:colOff>
      <xdr:row>6</xdr:row>
      <xdr:rowOff>114300</xdr:rowOff>
    </xdr:from>
    <xdr:ext cx="2847975" cy="942975"/>
    <xdr:pic>
      <xdr:nvPicPr>
        <xdr:cNvPr id="0" name="image62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304800</xdr:colOff>
      <xdr:row>6</xdr:row>
      <xdr:rowOff>142875</xdr:rowOff>
    </xdr:from>
    <xdr:ext cx="4848225" cy="3248025"/>
    <xdr:pic>
      <xdr:nvPicPr>
        <xdr:cNvPr id="0" name="image2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171450</xdr:colOff>
      <xdr:row>23</xdr:row>
      <xdr:rowOff>142875</xdr:rowOff>
    </xdr:from>
    <xdr:ext cx="4981575" cy="3228975"/>
    <xdr:pic>
      <xdr:nvPicPr>
        <xdr:cNvPr id="0" name="image1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485775</xdr:colOff>
      <xdr:row>41</xdr:row>
      <xdr:rowOff>95250</xdr:rowOff>
    </xdr:from>
    <xdr:ext cx="4848225" cy="3352800"/>
    <xdr:pic>
      <xdr:nvPicPr>
        <xdr:cNvPr id="0" name="image2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523875</xdr:colOff>
      <xdr:row>36</xdr:row>
      <xdr:rowOff>123825</xdr:rowOff>
    </xdr:from>
    <xdr:ext cx="4876800" cy="3248025"/>
    <xdr:pic>
      <xdr:nvPicPr>
        <xdr:cNvPr id="0" name="image5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495300</xdr:colOff>
      <xdr:row>6</xdr:row>
      <xdr:rowOff>85725</xdr:rowOff>
    </xdr:from>
    <xdr:ext cx="5600700" cy="3352800"/>
    <xdr:pic>
      <xdr:nvPicPr>
        <xdr:cNvPr id="0" name="image2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495300</xdr:colOff>
      <xdr:row>30</xdr:row>
      <xdr:rowOff>133350</xdr:rowOff>
    </xdr:from>
    <xdr:ext cx="4943475" cy="866775"/>
    <xdr:pic>
      <xdr:nvPicPr>
        <xdr:cNvPr id="0" name="image1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495300</xdr:colOff>
      <xdr:row>24</xdr:row>
      <xdr:rowOff>66675</xdr:rowOff>
    </xdr:from>
    <xdr:ext cx="4943475" cy="1171575"/>
    <xdr:pic>
      <xdr:nvPicPr>
        <xdr:cNvPr id="0" name="image14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600075</xdr:colOff>
      <xdr:row>54</xdr:row>
      <xdr:rowOff>180975</xdr:rowOff>
    </xdr:from>
    <xdr:ext cx="5715000" cy="1362075"/>
    <xdr:pic>
      <xdr:nvPicPr>
        <xdr:cNvPr id="0" name="image18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619125</xdr:colOff>
      <xdr:row>62</xdr:row>
      <xdr:rowOff>142875</xdr:rowOff>
    </xdr:from>
    <xdr:ext cx="5667375" cy="2133600"/>
    <xdr:pic>
      <xdr:nvPicPr>
        <xdr:cNvPr id="0" name="image16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123825</xdr:colOff>
      <xdr:row>19</xdr:row>
      <xdr:rowOff>28575</xdr:rowOff>
    </xdr:from>
    <xdr:ext cx="5667375" cy="3505200"/>
    <xdr:graphicFrame>
      <xdr:nvGraphicFramePr>
        <xdr:cNvPr id="1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8</xdr:col>
      <xdr:colOff>123825</xdr:colOff>
      <xdr:row>54</xdr:row>
      <xdr:rowOff>28575</xdr:rowOff>
    </xdr:from>
    <xdr:ext cx="5667375" cy="3505200"/>
    <xdr:graphicFrame>
      <xdr:nvGraphicFramePr>
        <xdr:cNvPr id="2" name="Chart 2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1781175</xdr:colOff>
      <xdr:row>31</xdr:row>
      <xdr:rowOff>152400</xdr:rowOff>
    </xdr:from>
    <xdr:ext cx="5153025" cy="3219450"/>
    <xdr:graphicFrame>
      <xdr:nvGraphicFramePr>
        <xdr:cNvPr id="3" name="Chart 3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4</xdr:col>
      <xdr:colOff>600075</xdr:colOff>
      <xdr:row>3</xdr:row>
      <xdr:rowOff>85725</xdr:rowOff>
    </xdr:from>
    <xdr:ext cx="3371850" cy="2000250"/>
    <xdr:pic>
      <xdr:nvPicPr>
        <xdr:cNvPr id="0" name="image1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190500</xdr:colOff>
      <xdr:row>9</xdr:row>
      <xdr:rowOff>85725</xdr:rowOff>
    </xdr:from>
    <xdr:ext cx="1819275" cy="657225"/>
    <xdr:pic>
      <xdr:nvPicPr>
        <xdr:cNvPr id="0" name="image1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12</xdr:row>
      <xdr:rowOff>142875</xdr:rowOff>
    </xdr:from>
    <xdr:ext cx="6838950" cy="409575"/>
    <xdr:pic>
      <xdr:nvPicPr>
        <xdr:cNvPr id="0" name="image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142875</xdr:colOff>
      <xdr:row>15</xdr:row>
      <xdr:rowOff>190500</xdr:rowOff>
    </xdr:from>
    <xdr:ext cx="4752975" cy="523875"/>
    <xdr:pic>
      <xdr:nvPicPr>
        <xdr:cNvPr id="0" name="image1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447675</xdr:colOff>
      <xdr:row>16</xdr:row>
      <xdr:rowOff>47625</xdr:rowOff>
    </xdr:from>
    <xdr:ext cx="3524250" cy="600075"/>
    <xdr:pic>
      <xdr:nvPicPr>
        <xdr:cNvPr id="0" name="image10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514350</xdr:colOff>
      <xdr:row>57</xdr:row>
      <xdr:rowOff>57150</xdr:rowOff>
    </xdr:from>
    <xdr:ext cx="3810000" cy="552450"/>
    <xdr:pic>
      <xdr:nvPicPr>
        <xdr:cNvPr id="0" name="image6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371475</xdr:colOff>
      <xdr:row>51</xdr:row>
      <xdr:rowOff>161925</xdr:rowOff>
    </xdr:from>
    <xdr:ext cx="3190875" cy="1000125"/>
    <xdr:pic>
      <xdr:nvPicPr>
        <xdr:cNvPr id="0" name="image1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85725</xdr:colOff>
      <xdr:row>52</xdr:row>
      <xdr:rowOff>152400</xdr:rowOff>
    </xdr:from>
    <xdr:ext cx="1381125" cy="628650"/>
    <xdr:pic>
      <xdr:nvPicPr>
        <xdr:cNvPr id="0" name="image8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266700</xdr:colOff>
      <xdr:row>61</xdr:row>
      <xdr:rowOff>85725</xdr:rowOff>
    </xdr:from>
    <xdr:ext cx="4848225" cy="771525"/>
    <xdr:pic>
      <xdr:nvPicPr>
        <xdr:cNvPr id="0" name="image1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257175</xdr:colOff>
      <xdr:row>54</xdr:row>
      <xdr:rowOff>47625</xdr:rowOff>
    </xdr:from>
    <xdr:ext cx="3448050" cy="1066800"/>
    <xdr:pic>
      <xdr:nvPicPr>
        <xdr:cNvPr id="0" name="image2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333375</xdr:colOff>
      <xdr:row>60</xdr:row>
      <xdr:rowOff>104775</xdr:rowOff>
    </xdr:from>
    <xdr:ext cx="3105150" cy="657225"/>
    <xdr:pic>
      <xdr:nvPicPr>
        <xdr:cNvPr id="0" name="image4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609600</xdr:colOff>
      <xdr:row>52</xdr:row>
      <xdr:rowOff>171450</xdr:rowOff>
    </xdr:from>
    <xdr:ext cx="5048250" cy="2181225"/>
    <xdr:pic>
      <xdr:nvPicPr>
        <xdr:cNvPr id="0" name="image3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733425</xdr:colOff>
      <xdr:row>52</xdr:row>
      <xdr:rowOff>9525</xdr:rowOff>
    </xdr:from>
    <xdr:ext cx="3057525" cy="2505075"/>
    <xdr:pic>
      <xdr:nvPicPr>
        <xdr:cNvPr id="0" name="image7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676275</xdr:colOff>
      <xdr:row>89</xdr:row>
      <xdr:rowOff>180975</xdr:rowOff>
    </xdr:from>
    <xdr:ext cx="2619375" cy="571500"/>
    <xdr:pic>
      <xdr:nvPicPr>
        <xdr:cNvPr id="0" name="image5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1666875</xdr:colOff>
      <xdr:row>63</xdr:row>
      <xdr:rowOff>180975</xdr:rowOff>
    </xdr:from>
    <xdr:ext cx="2619375" cy="57150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438150</xdr:colOff>
      <xdr:row>0</xdr:row>
      <xdr:rowOff>0</xdr:rowOff>
    </xdr:from>
    <xdr:ext cx="3371850" cy="2000250"/>
    <xdr:pic>
      <xdr:nvPicPr>
        <xdr:cNvPr id="0" name="image1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209550</xdr:colOff>
      <xdr:row>5</xdr:row>
      <xdr:rowOff>123825</xdr:rowOff>
    </xdr:from>
    <xdr:ext cx="4305300" cy="2667000"/>
    <xdr:graphicFrame>
      <xdr:nvGraphicFramePr>
        <xdr:cNvPr id="4" name="Chart 4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29</xdr:col>
      <xdr:colOff>457200</xdr:colOff>
      <xdr:row>6</xdr:row>
      <xdr:rowOff>66675</xdr:rowOff>
    </xdr:from>
    <xdr:ext cx="3228975" cy="2209800"/>
    <xdr:pic>
      <xdr:nvPicPr>
        <xdr:cNvPr id="0" name="image2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771525</xdr:colOff>
      <xdr:row>6</xdr:row>
      <xdr:rowOff>66675</xdr:rowOff>
    </xdr:from>
    <xdr:ext cx="6657975" cy="2609850"/>
    <xdr:pic>
      <xdr:nvPicPr>
        <xdr:cNvPr id="0" name="image2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161925</xdr:colOff>
      <xdr:row>61</xdr:row>
      <xdr:rowOff>190500</xdr:rowOff>
    </xdr:from>
    <xdr:ext cx="7419975" cy="1752600"/>
    <xdr:pic>
      <xdr:nvPicPr>
        <xdr:cNvPr id="0" name="image2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619125</xdr:colOff>
      <xdr:row>62</xdr:row>
      <xdr:rowOff>152400</xdr:rowOff>
    </xdr:from>
    <xdr:ext cx="3781425" cy="1590675"/>
    <xdr:pic>
      <xdr:nvPicPr>
        <xdr:cNvPr id="0" name="image2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381000</xdr:colOff>
      <xdr:row>75</xdr:row>
      <xdr:rowOff>38100</xdr:rowOff>
    </xdr:from>
    <xdr:ext cx="5591175" cy="2486025"/>
    <xdr:pic>
      <xdr:nvPicPr>
        <xdr:cNvPr id="0" name="image25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857250</xdr:colOff>
      <xdr:row>43</xdr:row>
      <xdr:rowOff>95250</xdr:rowOff>
    </xdr:from>
    <xdr:ext cx="8848725" cy="2343150"/>
    <xdr:pic>
      <xdr:nvPicPr>
        <xdr:cNvPr id="0" name="image3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314325</xdr:colOff>
      <xdr:row>91</xdr:row>
      <xdr:rowOff>133350</xdr:rowOff>
    </xdr:from>
    <xdr:ext cx="6905625" cy="2609850"/>
    <xdr:pic>
      <xdr:nvPicPr>
        <xdr:cNvPr id="0" name="image28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419100</xdr:colOff>
      <xdr:row>91</xdr:row>
      <xdr:rowOff>200025</xdr:rowOff>
    </xdr:from>
    <xdr:ext cx="3781425" cy="2343150"/>
    <xdr:pic>
      <xdr:nvPicPr>
        <xdr:cNvPr id="0" name="image2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704850</xdr:colOff>
      <xdr:row>30</xdr:row>
      <xdr:rowOff>57150</xdr:rowOff>
    </xdr:from>
    <xdr:ext cx="5715000" cy="3533775"/>
    <xdr:graphicFrame>
      <xdr:nvGraphicFramePr>
        <xdr:cNvPr id="5" name="Chart 5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11</xdr:col>
      <xdr:colOff>304800</xdr:colOff>
      <xdr:row>3</xdr:row>
      <xdr:rowOff>76200</xdr:rowOff>
    </xdr:from>
    <xdr:ext cx="4876800" cy="2562225"/>
    <xdr:pic>
      <xdr:nvPicPr>
        <xdr:cNvPr id="0" name="image4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17</xdr:row>
      <xdr:rowOff>47625</xdr:rowOff>
    </xdr:from>
    <xdr:ext cx="2133600" cy="628650"/>
    <xdr:pic>
      <xdr:nvPicPr>
        <xdr:cNvPr id="0" name="image5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790575</xdr:colOff>
      <xdr:row>25</xdr:row>
      <xdr:rowOff>152400</xdr:rowOff>
    </xdr:from>
    <xdr:ext cx="4591050" cy="3152775"/>
    <xdr:pic>
      <xdr:nvPicPr>
        <xdr:cNvPr id="0" name="image6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904875</xdr:colOff>
      <xdr:row>45</xdr:row>
      <xdr:rowOff>47625</xdr:rowOff>
    </xdr:from>
    <xdr:ext cx="4876800" cy="3305175"/>
    <xdr:pic>
      <xdr:nvPicPr>
        <xdr:cNvPr id="0" name="image4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64</xdr:row>
      <xdr:rowOff>0</xdr:rowOff>
    </xdr:from>
    <xdr:ext cx="5353050" cy="2066925"/>
    <xdr:pic>
      <xdr:nvPicPr>
        <xdr:cNvPr id="0" name="image43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857250</xdr:colOff>
      <xdr:row>31</xdr:row>
      <xdr:rowOff>114300</xdr:rowOff>
    </xdr:from>
    <xdr:ext cx="3810000" cy="3390900"/>
    <xdr:pic>
      <xdr:nvPicPr>
        <xdr:cNvPr id="0" name="image46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76200</xdr:rowOff>
    </xdr:from>
    <xdr:ext cx="4371975" cy="3829050"/>
    <xdr:pic>
      <xdr:nvPicPr>
        <xdr:cNvPr id="0" name="image47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257175</xdr:colOff>
      <xdr:row>75</xdr:row>
      <xdr:rowOff>95250</xdr:rowOff>
    </xdr:from>
    <xdr:ext cx="4876800" cy="4019550"/>
    <xdr:pic>
      <xdr:nvPicPr>
        <xdr:cNvPr id="0" name="image32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79</xdr:row>
      <xdr:rowOff>0</xdr:rowOff>
    </xdr:from>
    <xdr:ext cx="6686550" cy="3219450"/>
    <xdr:pic>
      <xdr:nvPicPr>
        <xdr:cNvPr id="0" name="image4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99</xdr:row>
      <xdr:rowOff>0</xdr:rowOff>
    </xdr:from>
    <xdr:ext cx="4876800" cy="5895975"/>
    <xdr:pic>
      <xdr:nvPicPr>
        <xdr:cNvPr id="0" name="image63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130</xdr:row>
      <xdr:rowOff>0</xdr:rowOff>
    </xdr:from>
    <xdr:ext cx="4876800" cy="4400550"/>
    <xdr:pic>
      <xdr:nvPicPr>
        <xdr:cNvPr id="0" name="image53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153</xdr:row>
      <xdr:rowOff>0</xdr:rowOff>
    </xdr:from>
    <xdr:ext cx="4876800" cy="4029075"/>
    <xdr:pic>
      <xdr:nvPicPr>
        <xdr:cNvPr id="0" name="image59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174</xdr:row>
      <xdr:rowOff>0</xdr:rowOff>
    </xdr:from>
    <xdr:ext cx="4876800" cy="3533775"/>
    <xdr:pic>
      <xdr:nvPicPr>
        <xdr:cNvPr id="0" name="image44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193</xdr:row>
      <xdr:rowOff>0</xdr:rowOff>
    </xdr:from>
    <xdr:ext cx="4876800" cy="3657600"/>
    <xdr:pic>
      <xdr:nvPicPr>
        <xdr:cNvPr id="0" name="image33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123825</xdr:colOff>
      <xdr:row>212</xdr:row>
      <xdr:rowOff>38100</xdr:rowOff>
    </xdr:from>
    <xdr:ext cx="5257800" cy="704850"/>
    <xdr:pic>
      <xdr:nvPicPr>
        <xdr:cNvPr id="0" name="image31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217</xdr:row>
      <xdr:rowOff>0</xdr:rowOff>
    </xdr:from>
    <xdr:ext cx="10144125" cy="2447925"/>
    <xdr:pic>
      <xdr:nvPicPr>
        <xdr:cNvPr id="0" name="image52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233</xdr:row>
      <xdr:rowOff>0</xdr:rowOff>
    </xdr:from>
    <xdr:ext cx="4876800" cy="2295525"/>
    <xdr:pic>
      <xdr:nvPicPr>
        <xdr:cNvPr id="0" name="image50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persons/person.xml><?xml version="1.0" encoding="utf-8"?>
<x18tc:personList xmlns:x18tc="http://schemas.microsoft.com/office/spreadsheetml/2018/threadedcomments"/>
</file>

<file path=xl/tables/table1.xml><?xml version="1.0" encoding="utf-8"?>
<table xmlns="http://schemas.openxmlformats.org/spreadsheetml/2006/main" ref="B3:H99" displayName="Table_1" name="Table_1" id="1">
  <tableColumns count="7">
    <tableColumn name="Time of Day" id="1"/>
    <tableColumn name="Heat transfer through refrigerator walls" id="2"/>
    <tableColumn name="Grocery Load (cans)" id="3"/>
    <tableColumn name="Grocery Load (kJ)" id="4"/>
    <tableColumn name="Total Load per every 15 minutes (kJ)" id="5"/>
    <tableColumn name="Instantaneous Load (kW)" id="6"/>
    <tableColumn name="Average Load during passive cooling period (kW)" id="7"/>
  </tableColumns>
  <tableStyleInfo name="STEP 2-style" showColumnStripes="0" showFirstColumn="1" showLastColumn="1" showRowStripes="1"/>
</table>
</file>

<file path=xl/tables/table2.xml><?xml version="1.0" encoding="utf-8"?>
<table xmlns="http://schemas.openxmlformats.org/spreadsheetml/2006/main" headerRowCount="0" ref="F36:W43" displayName="Table_2" name="Table_2" id="2">
  <tableColumns count="1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</tableColumns>
  <tableStyleInfo name="STEP 3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.xml><?xml version="1.0" encoding="utf-8"?>
<table xmlns="http://schemas.openxmlformats.org/spreadsheetml/2006/main" headerRowCount="0" ref="E70:Y89" displayName="Table_3" name="Table_3" id="3">
  <tableColumns count="21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  <tableColumn name="Column19" id="19"/>
    <tableColumn name="Column20" id="20"/>
    <tableColumn name="Column21" id="21"/>
  </tableColumns>
  <tableStyleInfo name="STEP 3-style 2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4.xml><?xml version="1.0" encoding="utf-8"?>
<table xmlns="http://schemas.openxmlformats.org/spreadsheetml/2006/main" headerRowCount="0" ref="E12:AP31" displayName="Table_4" name="Table_4" id="4">
  <tableColumns count="3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  <tableColumn name="Column19" id="19"/>
    <tableColumn name="Column20" id="20"/>
    <tableColumn name="Column21" id="21"/>
    <tableColumn name="Column22" id="22"/>
    <tableColumn name="Column23" id="23"/>
    <tableColumn name="Column24" id="24"/>
    <tableColumn name="Column25" id="25"/>
    <tableColumn name="Column26" id="26"/>
    <tableColumn name="Column27" id="27"/>
    <tableColumn name="Column28" id="28"/>
    <tableColumn name="Column29" id="29"/>
    <tableColumn name="Column30" id="30"/>
    <tableColumn name="Column31" id="31"/>
    <tableColumn name="Column32" id="32"/>
    <tableColumn name="Column33" id="33"/>
    <tableColumn name="Column34" id="34"/>
    <tableColumn name="Column35" id="35"/>
    <tableColumn name="Column36" id="36"/>
    <tableColumn name="Column37" id="37"/>
    <tableColumn name="Column38" id="38"/>
  </tableColumns>
  <tableStyleInfo name="STEP 3 for each FIN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5.xml><?xml version="1.0" encoding="utf-8"?>
<table xmlns="http://schemas.openxmlformats.org/spreadsheetml/2006/main" headerRowCount="0" ref="F24:W31" displayName="Table_5" name="Table_5" id="5">
  <tableColumns count="1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</tableColumns>
  <tableStyleInfo name="Backup of Step 3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headerRowCount="0" ref="F49:W56" displayName="Table_6" name="Table_6" id="6">
  <tableColumns count="1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</tableColumns>
  <tableStyleInfo name="Backup of Step 3-style 2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7.xml><?xml version="1.0" encoding="utf-8"?>
<table xmlns="http://schemas.openxmlformats.org/spreadsheetml/2006/main" headerRowCount="0" ref="F82:AA99" displayName="Table_7" name="Table_7" id="7">
  <tableColumns count="22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  <tableColumn name="Column9" id="9"/>
    <tableColumn name="Column10" id="10"/>
    <tableColumn name="Column11" id="11"/>
    <tableColumn name="Column12" id="12"/>
    <tableColumn name="Column13" id="13"/>
    <tableColumn name="Column14" id="14"/>
    <tableColumn name="Column15" id="15"/>
    <tableColumn name="Column16" id="16"/>
    <tableColumn name="Column17" id="17"/>
    <tableColumn name="Column18" id="18"/>
    <tableColumn name="Column19" id="19"/>
    <tableColumn name="Column20" id="20"/>
    <tableColumn name="Column21" id="21"/>
    <tableColumn name="Column22" id="22"/>
  </tableColumns>
  <tableStyleInfo name="Backup of Step 3-style 3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hyperlink" Target="https://www.jameco.com/Jameco/Products/ProdDS/102884.pdf" TargetMode="External"/><Relationship Id="rId2" Type="http://schemas.openxmlformats.org/officeDocument/2006/relationships/hyperlink" Target="https://www.researchgate.net/figure/Loss-Coefficients-due-to-sudden-gradual-contraction-and-expansion_fig4_357898439" TargetMode="External"/><Relationship Id="rId3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sciencedirect.com/topics/engineering/fin-efficiency" TargetMode="External"/><Relationship Id="rId2" Type="http://schemas.openxmlformats.org/officeDocument/2006/relationships/hyperlink" Target="https://www.sciencedirect.com/science/article/pii/S1364032117310687" TargetMode="External"/><Relationship Id="rId3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Relationship Id="rId5" Type="http://schemas.openxmlformats.org/officeDocument/2006/relationships/table" Target="../tables/table5.xml"/><Relationship Id="rId6" Type="http://schemas.openxmlformats.org/officeDocument/2006/relationships/table" Target="../tables/table6.xml"/><Relationship Id="rId7" Type="http://schemas.openxmlformats.org/officeDocument/2006/relationships/table" Target="../tables/table7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drive.google.com/file/d/1rqqUzsPTBf1LmHPwpwfA5agNJXHB3-wM/view?usp=sharing" TargetMode="External"/><Relationship Id="rId2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Relationship Id="rId3" Type="http://schemas.openxmlformats.org/officeDocument/2006/relationships/table" Target="../tables/table1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Relationship Id="rId4" Type="http://schemas.openxmlformats.org/officeDocument/2006/relationships/table" Target="../tables/table2.xml"/><Relationship Id="rId5" Type="http://schemas.openxmlformats.org/officeDocument/2006/relationships/table" Target="../tables/table3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Relationship Id="rId3" Type="http://schemas.openxmlformats.org/officeDocument/2006/relationships/table" Target="../tables/table4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hyperlink" Target="https://thermocoolcorp.com/product/tcp7515/" TargetMode="External"/><Relationship Id="rId2" Type="http://schemas.openxmlformats.org/officeDocument/2006/relationships/hyperlink" Target="https://www.metalsdepot.com/aluminum-products/aluminum-rectangle-tube" TargetMode="External"/><Relationship Id="rId3" Type="http://schemas.openxmlformats.org/officeDocument/2006/relationships/hyperlink" Target="https://heatsinkonline.com/products/7874-wide-heatsink-64as?variant=42105916948642&amp;country=US&amp;currency=USD&amp;utm_medium=product_sync&amp;utm_source=google&amp;utm_content=sag_organic&amp;utm_campaign=sag_organic&amp;utm_campaign=gs-2022-07-05&amp;utm_source=google&amp;utm_medium=smart_campaign&amp;gad_source=4&amp;gbraid=0AAAAABmrCYdmSs6RRO8d2MZDT69-jNeqJ&amp;gclid=CjwKCAjwq7fABhB2EiwAwk-YbNJNHDVNKmhC6NEKsVn3wKhq0ggWOAc9W3ACV31yxpUNhxtY-Ju1OxoCGtAQAvD_BwE" TargetMode="External"/><Relationship Id="rId4" Type="http://schemas.openxmlformats.org/officeDocument/2006/relationships/hyperlink" Target="https://heatsinkonline.com/products/7874-wide-heatsink-64as?variant=42105916948642&amp;country=US&amp;currency=USD&amp;utm_medium=product_sync&amp;utm_source=google&amp;utm_content=sag_organic&amp;utm_campaign=sag_organic&amp;utm_campaign=gs-2022-07-05&amp;utm_source=google&amp;utm_medium=smart_campaign&amp;gad_source=4&amp;gbraid=0AAAAABmrCYdmSs6RRO8d2MZDT69-jNeqJ&amp;gclid=CjwKCAjwq7fABhB2EiwAwk-YbNJNHDVNKmhC6NEKsVn3wKhq0ggWOAc9W3ACV31yxpUNhxtY-Ju1OxoCGtAQAvD_BwE" TargetMode="External"/><Relationship Id="rId9" Type="http://schemas.openxmlformats.org/officeDocument/2006/relationships/drawing" Target="../drawings/drawing7.xml"/><Relationship Id="rId5" Type="http://schemas.openxmlformats.org/officeDocument/2006/relationships/hyperlink" Target="https://heatsinkonline.com/collections/heatsink-extrusions/products/11811-wide-heatsink-1064as?variant=42105919045794" TargetMode="External"/><Relationship Id="rId6" Type="http://schemas.openxmlformats.org/officeDocument/2006/relationships/hyperlink" Target="https://www.heatsinkusa.com/12-000-wide-extruded-aluminum-heatsink/" TargetMode="External"/><Relationship Id="rId7" Type="http://schemas.openxmlformats.org/officeDocument/2006/relationships/hyperlink" Target="https://www.heatsinkusa.com/12-000-wide-extruded-aluminum-heatsink/" TargetMode="External"/><Relationship Id="rId8" Type="http://schemas.openxmlformats.org/officeDocument/2006/relationships/hyperlink" Target="https://www.amazon.com/Awxlumv-Large-Aluminum-Heatsink-Cooler/dp/B086MSVB23/ref=sr_1_3?crid=T4PI6JDBNZH6&amp;dib=eyJ2IjoiMSJ9.lP1Gk8rxCkjcJlPW3jCSTRrU_4Z8-UbQc4hNuEr2_kqi1wst81ird8OrOEGuUpmNKoxS9fsBfurcx9my9qi9HtcmNMFQ_6sti1mh6Vv1YaDsU66MXpu1_ZU5_6nVWOuAwQjRoansHliJCjVgMO3FVs36-_MFM3HMrSkKZYUXc6LOjEB5sfKwTWCShQUTSdjB5dGkLpjbQW3E_fFcmsqwk5JAl4D4yfvFMkB4Ww52DJ11wUROlomf70P_nfTzevWhk2bBK_raB5HJCD16Y0KqPe-jlmSyYiCHCoIMJwBbxCI.eftzBNpJLa9Wqs1x8Gdbx8yIbb4Pu6M5X2YIncHSdUI&amp;dib_tag=se&amp;keywords=large%2Bheat%2Bsink&amp;qid=1745790740&amp;s=industrial&amp;sprefix=large%2Bheat%2Bsink%2Cindustrial%2C158&amp;sr=1-3&amp;th=1" TargetMode="Externa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hyperlink" Target="https://integracontrols.com/fan-curves-explained/" TargetMode="External"/><Relationship Id="rId2" Type="http://schemas.openxmlformats.org/officeDocument/2006/relationships/hyperlink" Target="https://www.qats.com/cms/2010/05/19/how-to-understand-fan-curves-and-optimum-operating-points/" TargetMode="External"/><Relationship Id="rId3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80000"/>
    <outlinePr summaryBelow="0" summaryRight="0"/>
  </sheetPr>
  <sheetViews>
    <sheetView workbookViewId="0"/>
  </sheetViews>
  <sheetFormatPr customHeight="1" defaultColWidth="12.63" defaultRowHeight="15.75"/>
  <cols>
    <col customWidth="1" min="2" max="2" width="32.88"/>
    <col customWidth="1" min="4" max="4" width="14.75"/>
    <col customWidth="1" min="5" max="5" width="27.0"/>
    <col customWidth="1" min="6" max="6" width="18.25"/>
    <col customWidth="1" min="7" max="7" width="17.38"/>
    <col customWidth="1" min="8" max="8" width="19.25"/>
    <col customWidth="1" min="9" max="9" width="34.75"/>
    <col customWidth="1" min="10" max="10" width="25.25"/>
    <col customWidth="1" min="13" max="13" width="37.13"/>
  </cols>
  <sheetData>
    <row r="2">
      <c r="B2" s="1" t="s">
        <v>0</v>
      </c>
    </row>
    <row r="4">
      <c r="B4" s="2" t="s">
        <v>1</v>
      </c>
      <c r="C4" s="3"/>
      <c r="D4" s="4"/>
      <c r="E4" s="2" t="s">
        <v>2</v>
      </c>
      <c r="F4" s="3"/>
      <c r="G4" s="4"/>
      <c r="I4" s="5" t="s">
        <v>3</v>
      </c>
    </row>
    <row r="5">
      <c r="B5" s="6" t="s">
        <v>4</v>
      </c>
      <c r="C5" s="7" t="s">
        <v>5</v>
      </c>
      <c r="D5" s="8" t="s">
        <v>6</v>
      </c>
      <c r="E5" s="6" t="s">
        <v>4</v>
      </c>
      <c r="F5" s="7" t="s">
        <v>5</v>
      </c>
      <c r="G5" s="8" t="s">
        <v>6</v>
      </c>
      <c r="I5" s="9" t="s">
        <v>7</v>
      </c>
      <c r="J5" s="10">
        <v>0.56</v>
      </c>
      <c r="K5" s="9" t="s">
        <v>8</v>
      </c>
    </row>
    <row r="6">
      <c r="B6" s="11" t="s">
        <v>9</v>
      </c>
      <c r="C6" s="12">
        <v>4.184</v>
      </c>
      <c r="D6" s="13" t="s">
        <v>10</v>
      </c>
      <c r="E6" s="14" t="s">
        <v>11</v>
      </c>
      <c r="F6" s="5">
        <v>2.06</v>
      </c>
      <c r="G6" s="15" t="s">
        <v>12</v>
      </c>
      <c r="I6" s="9" t="s">
        <v>13</v>
      </c>
      <c r="J6" s="10">
        <v>0.43</v>
      </c>
      <c r="K6" s="9" t="s">
        <v>8</v>
      </c>
    </row>
    <row r="7">
      <c r="B7" s="14" t="s">
        <v>14</v>
      </c>
      <c r="C7" s="5">
        <v>998.2</v>
      </c>
      <c r="D7" s="13" t="s">
        <v>15</v>
      </c>
      <c r="E7" s="14" t="s">
        <v>16</v>
      </c>
      <c r="F7" s="12">
        <v>917.0</v>
      </c>
      <c r="G7" s="15" t="s">
        <v>17</v>
      </c>
      <c r="I7" s="9" t="s">
        <v>18</v>
      </c>
      <c r="J7" s="10">
        <f>J5-J6</f>
        <v>0.13</v>
      </c>
      <c r="K7" s="9" t="s">
        <v>8</v>
      </c>
    </row>
    <row r="8">
      <c r="B8" s="16"/>
      <c r="D8" s="17"/>
      <c r="E8" s="14" t="s">
        <v>19</v>
      </c>
      <c r="F8" s="5">
        <v>334.0</v>
      </c>
      <c r="G8" s="15" t="s">
        <v>20</v>
      </c>
      <c r="I8" s="18" t="s">
        <v>7</v>
      </c>
      <c r="J8" s="19">
        <v>0.48</v>
      </c>
      <c r="K8" s="18" t="s">
        <v>21</v>
      </c>
    </row>
    <row r="9">
      <c r="B9" s="20"/>
      <c r="C9" s="21"/>
      <c r="D9" s="22"/>
      <c r="E9" s="23" t="s">
        <v>22</v>
      </c>
      <c r="F9" s="24">
        <v>2.22</v>
      </c>
      <c r="G9" s="25" t="s">
        <v>23</v>
      </c>
      <c r="I9" s="18" t="s">
        <v>13</v>
      </c>
      <c r="J9" s="19">
        <v>0.44</v>
      </c>
      <c r="K9" s="18" t="s">
        <v>21</v>
      </c>
    </row>
    <row r="10">
      <c r="G10" s="26"/>
      <c r="I10" s="18" t="s">
        <v>18</v>
      </c>
      <c r="J10" s="19">
        <f>J8-J9</f>
        <v>0.04</v>
      </c>
      <c r="K10" s="18" t="s">
        <v>21</v>
      </c>
    </row>
    <row r="11">
      <c r="G11" s="26"/>
    </row>
    <row r="12">
      <c r="B12" s="2" t="s">
        <v>24</v>
      </c>
      <c r="C12" s="3"/>
      <c r="D12" s="4"/>
      <c r="E12" s="2" t="s">
        <v>25</v>
      </c>
      <c r="F12" s="3"/>
      <c r="G12" s="4"/>
      <c r="I12" s="5" t="s">
        <v>26</v>
      </c>
      <c r="J12" s="27">
        <f>average(J6,J9)</f>
        <v>0.435</v>
      </c>
    </row>
    <row r="13">
      <c r="B13" s="6" t="s">
        <v>4</v>
      </c>
      <c r="C13" s="7" t="s">
        <v>5</v>
      </c>
      <c r="D13" s="8" t="s">
        <v>6</v>
      </c>
      <c r="E13" s="6" t="s">
        <v>4</v>
      </c>
      <c r="F13" s="7" t="s">
        <v>5</v>
      </c>
      <c r="G13" s="8" t="s">
        <v>6</v>
      </c>
      <c r="I13" s="5" t="s">
        <v>27</v>
      </c>
      <c r="J13" s="27">
        <f>average(J5,J8)</f>
        <v>0.52</v>
      </c>
    </row>
    <row r="14">
      <c r="B14" s="14" t="s">
        <v>28</v>
      </c>
      <c r="C14" s="28">
        <f>1.005</f>
        <v>1.005</v>
      </c>
      <c r="D14" s="15" t="s">
        <v>29</v>
      </c>
      <c r="E14" s="11" t="s">
        <v>30</v>
      </c>
      <c r="F14" s="28">
        <v>21.0</v>
      </c>
      <c r="G14" s="13" t="s">
        <v>31</v>
      </c>
    </row>
    <row r="15">
      <c r="B15" s="11" t="s">
        <v>32</v>
      </c>
      <c r="C15" s="28">
        <v>0.287</v>
      </c>
      <c r="D15" s="15" t="s">
        <v>33</v>
      </c>
      <c r="E15" s="29" t="s">
        <v>34</v>
      </c>
      <c r="F15" s="12">
        <v>2.7</v>
      </c>
      <c r="G15" s="13" t="s">
        <v>35</v>
      </c>
      <c r="I15" s="5" t="s">
        <v>36</v>
      </c>
      <c r="J15" s="30">
        <v>0.7083333333333334</v>
      </c>
    </row>
    <row r="16">
      <c r="B16" s="11" t="s">
        <v>37</v>
      </c>
      <c r="C16" s="28">
        <v>101.325</v>
      </c>
      <c r="D16" s="15" t="s">
        <v>38</v>
      </c>
      <c r="E16" s="29" t="s">
        <v>39</v>
      </c>
      <c r="F16" s="12">
        <v>3.5</v>
      </c>
      <c r="G16" s="13" t="s">
        <v>40</v>
      </c>
      <c r="I16" s="5" t="s">
        <v>41</v>
      </c>
      <c r="J16" s="30">
        <v>0.8333333333333334</v>
      </c>
    </row>
    <row r="17">
      <c r="B17" s="11" t="s">
        <v>42</v>
      </c>
      <c r="C17" s="28">
        <f>1.46*10^-5</f>
        <v>0.0000146</v>
      </c>
      <c r="D17" s="13" t="s">
        <v>43</v>
      </c>
      <c r="E17" s="14" t="s">
        <v>44</v>
      </c>
      <c r="F17" s="5">
        <v>0.0</v>
      </c>
      <c r="G17" s="13" t="s">
        <v>45</v>
      </c>
      <c r="I17" s="5" t="s">
        <v>46</v>
      </c>
      <c r="J17" s="5">
        <v>3.0</v>
      </c>
      <c r="K17" s="5" t="s">
        <v>6</v>
      </c>
    </row>
    <row r="18">
      <c r="B18" s="11" t="s">
        <v>47</v>
      </c>
      <c r="D18" s="13" t="s">
        <v>48</v>
      </c>
      <c r="E18" s="16"/>
      <c r="G18" s="17"/>
      <c r="I18" s="5" t="s">
        <v>49</v>
      </c>
      <c r="J18" s="31">
        <f>J17*3600</f>
        <v>10800</v>
      </c>
      <c r="K18" s="5" t="s">
        <v>50</v>
      </c>
    </row>
    <row r="19">
      <c r="B19" s="29" t="s">
        <v>51</v>
      </c>
      <c r="C19" s="28">
        <v>0.71</v>
      </c>
      <c r="D19" s="13" t="s">
        <v>52</v>
      </c>
      <c r="E19" s="14" t="s">
        <v>53</v>
      </c>
      <c r="G19" s="17"/>
    </row>
    <row r="20">
      <c r="B20" s="11" t="s">
        <v>54</v>
      </c>
      <c r="C20" s="28">
        <f>24.59*10^-3</f>
        <v>0.02459</v>
      </c>
      <c r="D20" s="13" t="s">
        <v>55</v>
      </c>
      <c r="E20" s="11" t="s">
        <v>56</v>
      </c>
      <c r="F20" s="28">
        <v>273.0</v>
      </c>
      <c r="G20" s="13" t="s">
        <v>57</v>
      </c>
    </row>
    <row r="21">
      <c r="B21" s="16"/>
      <c r="D21" s="32"/>
      <c r="E21" s="29" t="s">
        <v>58</v>
      </c>
      <c r="F21" s="28">
        <f>F15+273</f>
        <v>275.7</v>
      </c>
      <c r="G21" s="13" t="s">
        <v>59</v>
      </c>
    </row>
    <row r="22">
      <c r="B22" s="20"/>
      <c r="C22" s="21"/>
      <c r="D22" s="33"/>
      <c r="E22" s="20"/>
      <c r="F22" s="21"/>
      <c r="G22" s="22"/>
      <c r="H22" s="5" t="s">
        <v>60</v>
      </c>
    </row>
    <row r="24">
      <c r="D24" s="5"/>
    </row>
    <row r="25">
      <c r="B25" s="2" t="s">
        <v>61</v>
      </c>
      <c r="C25" s="3"/>
      <c r="D25" s="4"/>
      <c r="E25" s="2" t="s">
        <v>62</v>
      </c>
      <c r="F25" s="3"/>
      <c r="G25" s="4"/>
    </row>
    <row r="26">
      <c r="B26" s="7" t="s">
        <v>4</v>
      </c>
      <c r="C26" s="7" t="s">
        <v>5</v>
      </c>
      <c r="D26" s="7" t="s">
        <v>6</v>
      </c>
      <c r="E26" s="7" t="s">
        <v>4</v>
      </c>
      <c r="F26" s="7" t="s">
        <v>5</v>
      </c>
      <c r="G26" s="7" t="s">
        <v>6</v>
      </c>
    </row>
    <row r="27">
      <c r="B27" s="5" t="s">
        <v>63</v>
      </c>
      <c r="C27" s="5">
        <v>237.0</v>
      </c>
      <c r="D27" s="5" t="s">
        <v>64</v>
      </c>
    </row>
    <row r="28">
      <c r="E28" s="5" t="s">
        <v>65</v>
      </c>
      <c r="F28" s="5">
        <v>3600.0</v>
      </c>
    </row>
    <row r="30">
      <c r="E30" s="34" t="s">
        <v>66</v>
      </c>
      <c r="F30" s="35">
        <v>0.0254</v>
      </c>
      <c r="G30" s="5" t="s">
        <v>67</v>
      </c>
      <c r="H30" s="31">
        <f>1/F30</f>
        <v>39.37007874</v>
      </c>
    </row>
    <row r="32">
      <c r="E32" s="5" t="s">
        <v>68</v>
      </c>
      <c r="F32" s="5">
        <v>2.96E-5</v>
      </c>
    </row>
    <row r="33">
      <c r="E33" s="9" t="s">
        <v>69</v>
      </c>
      <c r="F33" s="35">
        <v>4.7194745E-4</v>
      </c>
      <c r="G33" s="5" t="s">
        <v>70</v>
      </c>
    </row>
    <row r="34">
      <c r="E34" s="5" t="s">
        <v>71</v>
      </c>
      <c r="F34" s="5">
        <v>0.00401865</v>
      </c>
      <c r="G34" s="5" t="s">
        <v>72</v>
      </c>
    </row>
    <row r="35">
      <c r="E35" s="5" t="s">
        <v>73</v>
      </c>
      <c r="F35" s="5">
        <v>2.77778E-4</v>
      </c>
      <c r="G35" s="5" t="s">
        <v>74</v>
      </c>
    </row>
  </sheetData>
  <mergeCells count="6">
    <mergeCell ref="B4:D4"/>
    <mergeCell ref="E4:G4"/>
    <mergeCell ref="B12:D12"/>
    <mergeCell ref="E12:G12"/>
    <mergeCell ref="B25:D25"/>
    <mergeCell ref="E25:G25"/>
  </mergeCells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17.38"/>
    <col customWidth="1" min="3" max="3" width="11.0"/>
    <col customWidth="1" min="4" max="4" width="9.5"/>
    <col customWidth="1" min="5" max="5" width="14.38"/>
    <col customWidth="1" hidden="1" min="6" max="6" width="9.25"/>
    <col customWidth="1" hidden="1" min="7" max="7" width="9.5"/>
    <col customWidth="1" min="8" max="8" width="19.25"/>
    <col customWidth="1" min="9" max="9" width="10.88"/>
    <col customWidth="1" min="10" max="10" width="8.75"/>
    <col customWidth="1" hidden="1" min="11" max="11" width="9.5"/>
    <col customWidth="1" min="12" max="12" width="9.38"/>
  </cols>
  <sheetData>
    <row r="2">
      <c r="B2" s="92" t="s">
        <v>357</v>
      </c>
    </row>
    <row r="3">
      <c r="C3" s="5"/>
      <c r="D3" s="5"/>
      <c r="E3" s="5"/>
      <c r="H3" s="73" t="s">
        <v>358</v>
      </c>
      <c r="I3" s="227"/>
      <c r="J3" s="150">
        <f>14*14</f>
        <v>196</v>
      </c>
      <c r="K3" s="150"/>
      <c r="L3" s="151">
        <f>J3*m_per_in^2</f>
        <v>0.12645136</v>
      </c>
    </row>
    <row r="4">
      <c r="C4" s="5"/>
      <c r="D4" s="5"/>
      <c r="E4" s="5"/>
      <c r="H4" s="184"/>
      <c r="I4" s="228"/>
      <c r="J4" s="171"/>
      <c r="K4" s="171"/>
      <c r="L4" s="229"/>
    </row>
    <row r="5">
      <c r="B5" s="5" t="s">
        <v>359</v>
      </c>
      <c r="C5" s="5"/>
      <c r="D5" s="5"/>
      <c r="E5" s="5"/>
      <c r="H5" s="184"/>
      <c r="I5" s="228"/>
      <c r="J5" s="171"/>
      <c r="K5" s="171"/>
      <c r="L5" s="229"/>
    </row>
    <row r="6">
      <c r="B6" s="5" t="s">
        <v>254</v>
      </c>
      <c r="C6" s="5">
        <v>110.0</v>
      </c>
      <c r="D6" s="5"/>
      <c r="E6" s="5"/>
      <c r="H6" s="184"/>
      <c r="I6" s="228"/>
      <c r="J6" s="171"/>
      <c r="K6" s="171"/>
      <c r="L6" s="229"/>
    </row>
    <row r="7">
      <c r="B7" s="5" t="s">
        <v>360</v>
      </c>
      <c r="C7" s="41">
        <f>C6*mcube_per_cfm</f>
        <v>0.0519142195</v>
      </c>
    </row>
    <row r="8">
      <c r="B8" s="81" t="s">
        <v>361</v>
      </c>
      <c r="C8" s="230"/>
      <c r="D8" s="230"/>
      <c r="E8" s="230"/>
      <c r="F8" s="230"/>
      <c r="G8" s="230"/>
      <c r="H8" s="230"/>
      <c r="I8" s="230"/>
      <c r="J8" s="230"/>
      <c r="K8" s="230"/>
      <c r="L8" s="82"/>
    </row>
    <row r="9">
      <c r="B9" s="231" t="s">
        <v>4</v>
      </c>
      <c r="C9" s="232" t="s">
        <v>362</v>
      </c>
      <c r="D9" s="232" t="s">
        <v>363</v>
      </c>
      <c r="E9" s="232" t="s">
        <v>364</v>
      </c>
      <c r="F9" s="232" t="s">
        <v>365</v>
      </c>
      <c r="G9" s="232" t="s">
        <v>366</v>
      </c>
      <c r="H9" s="232" t="s">
        <v>367</v>
      </c>
      <c r="I9" s="232" t="s">
        <v>368</v>
      </c>
      <c r="J9" s="232" t="s">
        <v>369</v>
      </c>
      <c r="K9" s="232" t="s">
        <v>370</v>
      </c>
      <c r="L9" s="232" t="s">
        <v>371</v>
      </c>
    </row>
    <row r="10">
      <c r="B10" s="73" t="s">
        <v>372</v>
      </c>
      <c r="C10" s="233">
        <v>1.0</v>
      </c>
      <c r="D10" s="76">
        <f t="shared" ref="D10:D11" si="1">1*0.4</f>
        <v>0.4</v>
      </c>
      <c r="E10" s="74">
        <f>'STEP 3 for each FIN'!AE17</f>
        <v>1.019641341</v>
      </c>
      <c r="F10" s="172">
        <f>D10*m_per_in^2</f>
        <v>0.000258064</v>
      </c>
      <c r="G10" s="234">
        <f t="shared" ref="G10:G11" si="2">$C$7/100/F10</f>
        <v>2.011680029</v>
      </c>
      <c r="H10" s="73" t="s">
        <v>373</v>
      </c>
      <c r="I10" s="172">
        <f>F10^2/F12^2</f>
        <v>0.0002040816327</v>
      </c>
      <c r="J10" s="73">
        <v>0.5</v>
      </c>
      <c r="K10" s="151">
        <f>J10*dens_air*G10^2/2</f>
        <v>1.301929803</v>
      </c>
      <c r="L10" s="151">
        <f>K10*inH20_per_Pa</f>
        <v>0.005232000203</v>
      </c>
      <c r="S10" s="5" t="s">
        <v>374</v>
      </c>
    </row>
    <row r="11">
      <c r="B11" s="73" t="s">
        <v>375</v>
      </c>
      <c r="C11" s="233">
        <v>1.0</v>
      </c>
      <c r="D11" s="76">
        <f t="shared" si="1"/>
        <v>0.4</v>
      </c>
      <c r="E11" s="74">
        <v>1.3595217878135717</v>
      </c>
      <c r="F11" s="172">
        <f>D11*m_per_in^2</f>
        <v>0.000258064</v>
      </c>
      <c r="G11" s="234">
        <f t="shared" si="2"/>
        <v>2.011680029</v>
      </c>
      <c r="H11" s="73" t="s">
        <v>376</v>
      </c>
      <c r="I11" s="151">
        <f>F11/F12</f>
        <v>0.01428571429</v>
      </c>
      <c r="J11" s="73">
        <v>0.6</v>
      </c>
      <c r="K11" s="151">
        <f>J11*dens_air*G11^2/2</f>
        <v>1.562315764</v>
      </c>
      <c r="L11" s="151">
        <f>K11*inH20_per_Pa</f>
        <v>0.006278400244</v>
      </c>
    </row>
    <row r="12">
      <c r="B12" s="73" t="s">
        <v>377</v>
      </c>
      <c r="C12" s="233">
        <v>1.0</v>
      </c>
      <c r="D12" s="150">
        <f t="shared" ref="D12:D15" si="3">2*14</f>
        <v>28</v>
      </c>
      <c r="E12" s="74">
        <f t="shared" ref="E12:E19" si="4">$C$6/(D12/12^2)</f>
        <v>565.7142857</v>
      </c>
      <c r="F12" s="76">
        <f>D12*m_per_in^2</f>
        <v>0.01806448</v>
      </c>
      <c r="G12" s="234">
        <f t="shared" ref="G12:G15" si="5">$C$7/F12</f>
        <v>2.873828613</v>
      </c>
      <c r="H12" s="73" t="s">
        <v>378</v>
      </c>
      <c r="I12" s="73" t="s">
        <v>379</v>
      </c>
      <c r="J12" s="73">
        <v>1.1</v>
      </c>
      <c r="K12" s="151">
        <f>J12*dens_air*G12^2/2</f>
        <v>5.845399116</v>
      </c>
      <c r="L12" s="151">
        <f>K12*inH20_per_Pa</f>
        <v>0.02349061316</v>
      </c>
      <c r="S12" s="5" t="s">
        <v>380</v>
      </c>
    </row>
    <row r="13">
      <c r="B13" s="73" t="s">
        <v>381</v>
      </c>
      <c r="C13" s="233">
        <v>1.0</v>
      </c>
      <c r="D13" s="150">
        <f t="shared" si="3"/>
        <v>28</v>
      </c>
      <c r="E13" s="74">
        <f t="shared" si="4"/>
        <v>565.7142857</v>
      </c>
      <c r="F13" s="76">
        <f>D13*m_per_in^2</f>
        <v>0.01806448</v>
      </c>
      <c r="G13" s="234">
        <f t="shared" si="5"/>
        <v>2.873828613</v>
      </c>
      <c r="H13" s="73" t="s">
        <v>376</v>
      </c>
      <c r="I13" s="151">
        <f>F13/L3</f>
        <v>0.1428571429</v>
      </c>
      <c r="J13" s="73">
        <v>0.65</v>
      </c>
      <c r="K13" s="151">
        <f>J13*dens_air*G13^2/2</f>
        <v>3.454099478</v>
      </c>
      <c r="L13" s="151">
        <f>K13*inH20_per_Pa</f>
        <v>0.01388081687</v>
      </c>
      <c r="S13" s="5" t="s">
        <v>382</v>
      </c>
    </row>
    <row r="14">
      <c r="B14" s="73" t="s">
        <v>381</v>
      </c>
      <c r="C14" s="233">
        <v>0.75</v>
      </c>
      <c r="D14" s="150">
        <f t="shared" si="3"/>
        <v>28</v>
      </c>
      <c r="E14" s="74">
        <f t="shared" si="4"/>
        <v>565.7142857</v>
      </c>
      <c r="F14" s="76">
        <f>D14*m_per_in^2</f>
        <v>0.01806448</v>
      </c>
      <c r="G14" s="234">
        <f t="shared" si="5"/>
        <v>2.873828613</v>
      </c>
      <c r="H14" s="73" t="s">
        <v>376</v>
      </c>
      <c r="I14" s="73">
        <v>0.14</v>
      </c>
      <c r="J14" s="73">
        <v>0.65</v>
      </c>
      <c r="K14" s="151">
        <f>J14*dens_air*G14^2/2</f>
        <v>3.454099478</v>
      </c>
      <c r="L14" s="151">
        <f>K14*inH20_per_Pa</f>
        <v>0.01388081687</v>
      </c>
      <c r="S14" s="5" t="s">
        <v>383</v>
      </c>
    </row>
    <row r="15">
      <c r="B15" s="73" t="s">
        <v>381</v>
      </c>
      <c r="C15" s="233">
        <v>0.5</v>
      </c>
      <c r="D15" s="150">
        <f t="shared" si="3"/>
        <v>28</v>
      </c>
      <c r="E15" s="74">
        <f t="shared" si="4"/>
        <v>565.7142857</v>
      </c>
      <c r="F15" s="76">
        <f>D15*m_per_in^2</f>
        <v>0.01806448</v>
      </c>
      <c r="G15" s="234">
        <f t="shared" si="5"/>
        <v>2.873828613</v>
      </c>
      <c r="H15" s="73" t="s">
        <v>376</v>
      </c>
      <c r="I15" s="73">
        <v>0.14</v>
      </c>
      <c r="J15" s="73">
        <v>0.65</v>
      </c>
      <c r="K15" s="151">
        <f>J15*dens_air*G15^2/2</f>
        <v>3.454099478</v>
      </c>
      <c r="L15" s="151">
        <f>K15*inH20_per_Pa</f>
        <v>0.01388081687</v>
      </c>
      <c r="S15" s="5" t="s">
        <v>384</v>
      </c>
    </row>
    <row r="16">
      <c r="B16" s="73" t="s">
        <v>385</v>
      </c>
      <c r="C16" s="233">
        <v>0.25</v>
      </c>
      <c r="D16" s="150">
        <v>28.0</v>
      </c>
      <c r="E16" s="74">
        <f t="shared" si="4"/>
        <v>565.7142857</v>
      </c>
      <c r="F16" s="151">
        <v>0.12645135999999998</v>
      </c>
      <c r="G16" s="151">
        <f>C7/F16</f>
        <v>0.4105469447</v>
      </c>
      <c r="H16" s="73" t="s">
        <v>376</v>
      </c>
      <c r="I16" s="73">
        <v>0.14</v>
      </c>
      <c r="J16" s="73">
        <v>0.65</v>
      </c>
      <c r="K16" s="151">
        <f>J16*dens_air*G16^2/2</f>
        <v>0.07049182607</v>
      </c>
      <c r="L16" s="151">
        <f>K16*inH20_per_Pa</f>
        <v>0.0002832819768</v>
      </c>
    </row>
    <row r="17">
      <c r="B17" s="73" t="s">
        <v>386</v>
      </c>
      <c r="C17" s="233">
        <v>1.0</v>
      </c>
      <c r="D17" s="150">
        <f t="shared" ref="D17:D19" si="6">6*3</f>
        <v>18</v>
      </c>
      <c r="E17" s="74">
        <f t="shared" si="4"/>
        <v>880</v>
      </c>
      <c r="F17" s="76">
        <f>D17*m_per_in^2</f>
        <v>0.01161288</v>
      </c>
      <c r="G17" s="234">
        <f t="shared" ref="G17:G19" si="7">$C$7/F17</f>
        <v>4.470400064</v>
      </c>
      <c r="H17" s="73" t="s">
        <v>387</v>
      </c>
      <c r="I17" s="73" t="s">
        <v>379</v>
      </c>
      <c r="J17" s="73">
        <v>0.7</v>
      </c>
      <c r="K17" s="151">
        <f>J17*dens_air*G17^2/2</f>
        <v>9.000996169</v>
      </c>
      <c r="L17" s="151">
        <f>K17*inH20_per_Pa</f>
        <v>0.03617185326</v>
      </c>
    </row>
    <row r="18">
      <c r="B18" s="73" t="s">
        <v>388</v>
      </c>
      <c r="C18" s="233">
        <v>1.0</v>
      </c>
      <c r="D18" s="150">
        <f t="shared" si="6"/>
        <v>18</v>
      </c>
      <c r="E18" s="74">
        <f t="shared" si="4"/>
        <v>880</v>
      </c>
      <c r="F18" s="76">
        <f>D18*m_per_in^2</f>
        <v>0.01161288</v>
      </c>
      <c r="G18" s="234">
        <f t="shared" si="7"/>
        <v>4.470400064</v>
      </c>
      <c r="H18" s="73" t="s">
        <v>389</v>
      </c>
      <c r="I18" s="73" t="s">
        <v>379</v>
      </c>
      <c r="J18" s="73">
        <v>1.1</v>
      </c>
      <c r="K18" s="151">
        <f>J18*dens_air*G18^2/2</f>
        <v>14.14442255</v>
      </c>
      <c r="L18" s="151">
        <f>K18*inH20_per_Pa</f>
        <v>0.05684148369</v>
      </c>
    </row>
    <row r="19">
      <c r="B19" s="73" t="s">
        <v>388</v>
      </c>
      <c r="C19" s="233">
        <v>1.0</v>
      </c>
      <c r="D19" s="150">
        <f t="shared" si="6"/>
        <v>18</v>
      </c>
      <c r="E19" s="74">
        <f t="shared" si="4"/>
        <v>880</v>
      </c>
      <c r="F19" s="76">
        <f>D19*m_per_in^2</f>
        <v>0.01161288</v>
      </c>
      <c r="G19" s="234">
        <f t="shared" si="7"/>
        <v>4.470400064</v>
      </c>
      <c r="H19" s="73" t="s">
        <v>378</v>
      </c>
      <c r="I19" s="73" t="s">
        <v>379</v>
      </c>
      <c r="J19" s="73">
        <v>1.1</v>
      </c>
      <c r="K19" s="151">
        <f>J19*dens_air*G19^2/2</f>
        <v>14.14442255</v>
      </c>
      <c r="L19" s="151">
        <f>K19*inH20_per_Pa</f>
        <v>0.05684148369</v>
      </c>
    </row>
    <row r="20">
      <c r="B20" s="235" t="s">
        <v>390</v>
      </c>
      <c r="C20" s="230"/>
      <c r="D20" s="82"/>
      <c r="E20" s="236">
        <v>110.0</v>
      </c>
      <c r="F20" s="237"/>
      <c r="G20" s="237"/>
      <c r="H20" s="235" t="s">
        <v>391</v>
      </c>
      <c r="I20" s="230"/>
      <c r="J20" s="82"/>
      <c r="K20" s="238">
        <f t="shared" ref="K20:L20" si="8">sum(K10:K19)</f>
        <v>56.43227622</v>
      </c>
      <c r="L20" s="238">
        <f t="shared" si="8"/>
        <v>0.2267815668</v>
      </c>
    </row>
    <row r="23">
      <c r="G23" s="73" t="s">
        <v>392</v>
      </c>
      <c r="H23" s="239">
        <v>0.5</v>
      </c>
      <c r="I23" s="150">
        <f>0.5*14</f>
        <v>7</v>
      </c>
      <c r="J23" s="74">
        <f>$C$6/(I23/12^2)</f>
        <v>2262.857143</v>
      </c>
      <c r="K23" s="76">
        <f>I23*m_per_in^2</f>
        <v>0.00451612</v>
      </c>
      <c r="L23" s="234">
        <f>$C$7/K23</f>
        <v>11.49531445</v>
      </c>
    </row>
    <row r="25">
      <c r="A25" s="177" t="s">
        <v>393</v>
      </c>
      <c r="B25" s="184" t="s">
        <v>254</v>
      </c>
      <c r="C25" s="240" t="s">
        <v>370</v>
      </c>
      <c r="D25" s="240" t="s">
        <v>394</v>
      </c>
      <c r="E25" s="184" t="s">
        <v>395</v>
      </c>
      <c r="F25" s="5" t="s">
        <v>396</v>
      </c>
    </row>
    <row r="26">
      <c r="B26" s="184">
        <v>10.0</v>
      </c>
      <c r="C26" s="184">
        <v>0.47</v>
      </c>
      <c r="D26" s="184">
        <v>0.0019</v>
      </c>
      <c r="E26" s="184">
        <v>0.39</v>
      </c>
      <c r="F26" s="5">
        <v>0.33</v>
      </c>
    </row>
    <row r="27">
      <c r="B27" s="184">
        <v>20.0</v>
      </c>
      <c r="C27" s="184">
        <v>1.87</v>
      </c>
      <c r="D27" s="184">
        <v>0.0075</v>
      </c>
      <c r="E27" s="184">
        <v>0.36</v>
      </c>
      <c r="F27" s="5">
        <v>0.32</v>
      </c>
    </row>
    <row r="28">
      <c r="B28" s="184">
        <v>30.0</v>
      </c>
      <c r="C28" s="184">
        <v>4.2</v>
      </c>
      <c r="D28" s="184">
        <v>0.0169</v>
      </c>
      <c r="E28" s="184">
        <v>0.32</v>
      </c>
      <c r="F28" s="5">
        <v>0.27</v>
      </c>
    </row>
    <row r="29">
      <c r="B29" s="184">
        <v>40.0</v>
      </c>
      <c r="C29" s="184">
        <v>7.46</v>
      </c>
      <c r="D29" s="184">
        <v>0.03</v>
      </c>
      <c r="E29" s="184">
        <v>0.28</v>
      </c>
      <c r="F29" s="5">
        <v>0.23</v>
      </c>
    </row>
    <row r="30">
      <c r="B30" s="184">
        <v>50.0</v>
      </c>
      <c r="C30" s="184">
        <v>11.66</v>
      </c>
      <c r="D30" s="184">
        <v>0.047</v>
      </c>
      <c r="E30" s="184">
        <v>0.24</v>
      </c>
      <c r="F30" s="5">
        <v>0.19</v>
      </c>
    </row>
    <row r="31">
      <c r="B31" s="184">
        <v>60.0</v>
      </c>
      <c r="C31" s="184">
        <v>16.7</v>
      </c>
      <c r="D31" s="184">
        <v>0.0675</v>
      </c>
      <c r="E31" s="184">
        <v>0.2</v>
      </c>
      <c r="F31" s="5">
        <v>0.16</v>
      </c>
    </row>
    <row r="32">
      <c r="B32" s="184">
        <v>70.0</v>
      </c>
      <c r="C32" s="184">
        <v>22.85</v>
      </c>
      <c r="D32" s="184">
        <v>0.0918</v>
      </c>
      <c r="E32" s="184">
        <v>0.18</v>
      </c>
      <c r="F32" s="5">
        <v>0.14</v>
      </c>
    </row>
    <row r="33">
      <c r="B33" s="184">
        <v>80.0</v>
      </c>
      <c r="C33" s="184">
        <v>29.85</v>
      </c>
      <c r="D33" s="184">
        <v>0.12</v>
      </c>
      <c r="E33" s="184">
        <v>0.16</v>
      </c>
      <c r="F33" s="5">
        <v>0.1</v>
      </c>
    </row>
    <row r="34">
      <c r="B34" s="184">
        <v>90.0</v>
      </c>
      <c r="C34" s="184">
        <v>37.78</v>
      </c>
      <c r="D34" s="184">
        <v>0.1518</v>
      </c>
      <c r="E34" s="184">
        <v>0.12</v>
      </c>
      <c r="F34" s="5">
        <v>0.04</v>
      </c>
    </row>
    <row r="35">
      <c r="B35" s="184">
        <v>100.0</v>
      </c>
      <c r="C35" s="184">
        <v>46.64</v>
      </c>
      <c r="D35" s="184">
        <v>0.1874</v>
      </c>
      <c r="E35" s="184">
        <v>0.08</v>
      </c>
      <c r="F35" s="5">
        <v>0.0</v>
      </c>
    </row>
    <row r="36">
      <c r="B36" s="184">
        <v>110.0</v>
      </c>
      <c r="C36" s="184">
        <v>56.43</v>
      </c>
      <c r="D36" s="184">
        <v>0.2268</v>
      </c>
      <c r="E36" s="184">
        <v>0.04</v>
      </c>
      <c r="F36" s="5">
        <v>0.0</v>
      </c>
    </row>
    <row r="72">
      <c r="F72" s="177" t="s">
        <v>397</v>
      </c>
    </row>
  </sheetData>
  <mergeCells count="4">
    <mergeCell ref="B2:P2"/>
    <mergeCell ref="B8:L8"/>
    <mergeCell ref="B20:D20"/>
    <mergeCell ref="H20:J20"/>
  </mergeCells>
  <hyperlinks>
    <hyperlink r:id="rId1" ref="A25"/>
    <hyperlink r:id="rId2" ref="F72"/>
  </hyperlinks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3">
      <c r="J3" s="176" t="s">
        <v>398</v>
      </c>
    </row>
    <row r="4">
      <c r="J4" s="176" t="s">
        <v>399</v>
      </c>
    </row>
    <row r="20">
      <c r="J20" s="5" t="s">
        <v>400</v>
      </c>
    </row>
  </sheetData>
  <hyperlinks>
    <hyperlink r:id="rId1" ref="J3"/>
    <hyperlink r:id="rId2" ref="J4"/>
  </hyperlinks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FF"/>
    <outlinePr summaryBelow="0" summaryRight="0"/>
  </sheetPr>
  <sheetViews>
    <sheetView workbookViewId="0"/>
  </sheetViews>
  <sheetFormatPr customHeight="1" defaultColWidth="12.63" defaultRowHeight="15.75"/>
  <cols>
    <col customWidth="1" min="1" max="1" width="25.88"/>
    <col customWidth="1" min="2" max="2" width="28.38"/>
    <col customWidth="1" min="5" max="5" width="22.38"/>
    <col customWidth="1" min="6" max="6" width="22.13"/>
  </cols>
  <sheetData>
    <row r="2">
      <c r="B2" s="92" t="s">
        <v>401</v>
      </c>
    </row>
    <row r="3">
      <c r="B3" s="210" t="s">
        <v>402</v>
      </c>
    </row>
    <row r="4">
      <c r="B4" s="5"/>
    </row>
    <row r="5">
      <c r="B5" s="5" t="s">
        <v>169</v>
      </c>
    </row>
    <row r="6">
      <c r="B6" s="5" t="s">
        <v>170</v>
      </c>
      <c r="C6" s="5">
        <v>14.0</v>
      </c>
    </row>
    <row r="7">
      <c r="B7" s="5" t="s">
        <v>171</v>
      </c>
      <c r="C7" s="5">
        <v>14.0</v>
      </c>
    </row>
    <row r="8">
      <c r="B8" s="5" t="s">
        <v>172</v>
      </c>
      <c r="C8" s="54">
        <f>C6*m_per_in</f>
        <v>0.3556</v>
      </c>
      <c r="D8" s="5" t="s">
        <v>173</v>
      </c>
    </row>
    <row r="9">
      <c r="B9" s="5" t="s">
        <v>174</v>
      </c>
      <c r="C9" s="54">
        <f>C7*m_per_in</f>
        <v>0.3556</v>
      </c>
      <c r="D9" s="5" t="s">
        <v>175</v>
      </c>
      <c r="J9" s="94" t="s">
        <v>176</v>
      </c>
      <c r="K9" s="95"/>
      <c r="L9" s="95"/>
      <c r="M9" s="95"/>
      <c r="N9" s="95"/>
      <c r="O9" s="95"/>
      <c r="P9" s="96"/>
    </row>
    <row r="10">
      <c r="B10" s="5" t="s">
        <v>177</v>
      </c>
      <c r="C10" s="41">
        <f>C8*C9</f>
        <v>0.12645136</v>
      </c>
      <c r="D10" s="5" t="s">
        <v>178</v>
      </c>
      <c r="J10" s="97"/>
      <c r="P10" s="98"/>
    </row>
    <row r="11">
      <c r="B11" s="5" t="s">
        <v>179</v>
      </c>
      <c r="C11" s="99">
        <f>'STEP 2'!J9/C10</f>
        <v>7.908179082</v>
      </c>
      <c r="E11" s="5"/>
      <c r="G11" s="5"/>
      <c r="J11" s="97"/>
      <c r="P11" s="98"/>
    </row>
    <row r="12">
      <c r="B12" s="5" t="s">
        <v>180</v>
      </c>
      <c r="C12" s="100">
        <f>C11/m_per_in</f>
        <v>311.3456331</v>
      </c>
      <c r="E12" s="5"/>
      <c r="G12" s="5"/>
      <c r="J12" s="97"/>
      <c r="P12" s="98"/>
    </row>
    <row r="13">
      <c r="E13" s="5"/>
      <c r="G13" s="5"/>
      <c r="J13" s="97"/>
      <c r="P13" s="98"/>
    </row>
    <row r="14">
      <c r="J14" s="97"/>
      <c r="P14" s="98"/>
    </row>
    <row r="15">
      <c r="J15" s="97"/>
      <c r="P15" s="98"/>
    </row>
    <row r="16">
      <c r="B16" s="108" t="s">
        <v>403</v>
      </c>
      <c r="C16" s="109"/>
      <c r="E16" s="94" t="s">
        <v>181</v>
      </c>
      <c r="F16" s="95"/>
      <c r="G16" s="95"/>
      <c r="H16" s="101"/>
      <c r="J16" s="97"/>
      <c r="P16" s="98"/>
    </row>
    <row r="17">
      <c r="B17" s="110" t="s">
        <v>183</v>
      </c>
      <c r="C17" s="110">
        <v>1.0</v>
      </c>
      <c r="E17" s="97"/>
      <c r="H17" s="98"/>
      <c r="J17" s="97"/>
      <c r="P17" s="98"/>
    </row>
    <row r="18">
      <c r="B18" s="111" t="s">
        <v>184</v>
      </c>
      <c r="C18" s="112">
        <f>C17*m_per_in</f>
        <v>0.0254</v>
      </c>
      <c r="E18" s="97"/>
      <c r="H18" s="98"/>
      <c r="J18" s="97"/>
      <c r="P18" s="98"/>
    </row>
    <row r="19">
      <c r="B19" s="111" t="s">
        <v>186</v>
      </c>
      <c r="C19" s="113">
        <f>'Backup of Step 3'!Depth_block*C18*2</f>
        <v>0.01806448</v>
      </c>
      <c r="E19" s="97"/>
      <c r="H19" s="98"/>
      <c r="J19" s="97"/>
      <c r="P19" s="98"/>
      <c r="Z19" s="102"/>
    </row>
    <row r="20">
      <c r="B20" s="111" t="s">
        <v>187</v>
      </c>
      <c r="C20" s="113">
        <f>'Backup of Step 3'!Area_block*2</f>
        <v>0.25290272</v>
      </c>
      <c r="E20" s="103"/>
      <c r="F20" s="104"/>
      <c r="G20" s="104"/>
      <c r="H20" s="105"/>
      <c r="J20" s="103"/>
      <c r="K20" s="104"/>
      <c r="L20" s="104"/>
      <c r="M20" s="104"/>
      <c r="N20" s="104"/>
      <c r="O20" s="104"/>
      <c r="P20" s="105"/>
      <c r="R20" s="5"/>
      <c r="S20" s="5"/>
      <c r="T20" s="5"/>
      <c r="U20" s="5"/>
    </row>
    <row r="21">
      <c r="B21" s="138"/>
      <c r="C21" s="138"/>
      <c r="R21" s="5"/>
      <c r="S21" s="5"/>
      <c r="T21" s="5"/>
      <c r="U21" s="5"/>
    </row>
    <row r="22">
      <c r="Y22" s="5" t="s">
        <v>190</v>
      </c>
      <c r="Z22" s="5" t="s">
        <v>191</v>
      </c>
      <c r="AA22" s="5" t="s">
        <v>192</v>
      </c>
    </row>
    <row r="23">
      <c r="Y23" s="5">
        <v>20.0</v>
      </c>
      <c r="Z23" s="40">
        <f>J33</f>
        <v>3.180465964</v>
      </c>
      <c r="AA23" s="31">
        <f>J34</f>
        <v>-0.6376370679</v>
      </c>
    </row>
    <row r="24">
      <c r="F24" s="114" t="s">
        <v>188</v>
      </c>
      <c r="G24" s="80">
        <v>1.0</v>
      </c>
      <c r="H24" s="80">
        <v>5.0</v>
      </c>
      <c r="I24" s="80">
        <v>10.0</v>
      </c>
      <c r="J24" s="80">
        <v>20.0</v>
      </c>
      <c r="K24" s="80">
        <v>30.0</v>
      </c>
      <c r="L24" s="80">
        <v>40.0</v>
      </c>
      <c r="M24" s="80">
        <v>50.0</v>
      </c>
      <c r="N24" s="80">
        <v>60.0</v>
      </c>
      <c r="O24" s="80">
        <v>70.0</v>
      </c>
      <c r="P24" s="80">
        <v>80.0</v>
      </c>
      <c r="Q24" s="80">
        <v>90.0</v>
      </c>
      <c r="R24" s="80">
        <v>200.0</v>
      </c>
      <c r="S24" s="80">
        <v>300.0</v>
      </c>
      <c r="T24" s="80">
        <v>400.0</v>
      </c>
      <c r="U24" s="80">
        <v>500.0</v>
      </c>
      <c r="V24" s="80">
        <v>700.0</v>
      </c>
      <c r="W24" s="80">
        <v>800.0</v>
      </c>
      <c r="Y24" s="5">
        <v>30.0</v>
      </c>
      <c r="Z24" s="40">
        <f>K33</f>
        <v>3.236833256</v>
      </c>
      <c r="AA24" s="31">
        <f>K34</f>
        <v>0.741575288</v>
      </c>
    </row>
    <row r="25">
      <c r="F25" s="114" t="s">
        <v>189</v>
      </c>
      <c r="G25" s="115">
        <f>G24*mcube_per_cfm</f>
        <v>0.00047194745</v>
      </c>
      <c r="H25" s="115">
        <f>H24*mcube_per_cfm</f>
        <v>0.00235973725</v>
      </c>
      <c r="I25" s="115">
        <f>I24*mcube_per_cfm</f>
        <v>0.0047194745</v>
      </c>
      <c r="J25" s="115">
        <f>J24*mcube_per_cfm</f>
        <v>0.009438949</v>
      </c>
      <c r="K25" s="115">
        <f>K24*mcube_per_cfm</f>
        <v>0.0141584235</v>
      </c>
      <c r="L25" s="115">
        <f>L24*mcube_per_cfm</f>
        <v>0.018877898</v>
      </c>
      <c r="M25" s="115">
        <f>M24*mcube_per_cfm</f>
        <v>0.0235973725</v>
      </c>
      <c r="N25" s="115">
        <f>N24*mcube_per_cfm</f>
        <v>0.028316847</v>
      </c>
      <c r="O25" s="115">
        <f>O24*mcube_per_cfm</f>
        <v>0.0330363215</v>
      </c>
      <c r="P25" s="115">
        <f>P24*mcube_per_cfm</f>
        <v>0.037755796</v>
      </c>
      <c r="Q25" s="115">
        <f>Q24*mcube_per_cfm</f>
        <v>0.0424752705</v>
      </c>
      <c r="R25" s="115">
        <f>R24*mcube_per_cfm</f>
        <v>0.09438949</v>
      </c>
      <c r="S25" s="115">
        <f>S24*mcube_per_cfm</f>
        <v>0.141584235</v>
      </c>
      <c r="T25" s="115">
        <f>T24*mcube_per_cfm</f>
        <v>0.18877898</v>
      </c>
      <c r="U25" s="115">
        <f>U24*mcube_per_cfm</f>
        <v>0.235973725</v>
      </c>
      <c r="V25" s="115">
        <f>V24*mcube_per_cfm</f>
        <v>0.330363215</v>
      </c>
      <c r="W25" s="115">
        <f>W24*mcube_per_cfm</f>
        <v>0.37755796</v>
      </c>
      <c r="Y25" s="5">
        <v>40.0</v>
      </c>
      <c r="Z25" s="40">
        <f>L33</f>
        <v>3.27090898</v>
      </c>
      <c r="AA25" s="31">
        <f>L34</f>
        <v>1.431181466</v>
      </c>
    </row>
    <row r="26">
      <c r="F26" s="114" t="s">
        <v>193</v>
      </c>
      <c r="G26" s="115">
        <f>G25*dens_air</f>
        <v>0.0006073281271</v>
      </c>
      <c r="H26" s="115">
        <f>H25*dens_air</f>
        <v>0.003036640636</v>
      </c>
      <c r="I26" s="115">
        <f>I25*dens_air</f>
        <v>0.006073281271</v>
      </c>
      <c r="J26" s="115">
        <f>J25*dens_air</f>
        <v>0.01214656254</v>
      </c>
      <c r="K26" s="115">
        <f>K25*dens_air</f>
        <v>0.01821984381</v>
      </c>
      <c r="L26" s="115">
        <f>L25*dens_air</f>
        <v>0.02429312509</v>
      </c>
      <c r="M26" s="115">
        <f>M25*dens_air</f>
        <v>0.03036640636</v>
      </c>
      <c r="N26" s="115">
        <f>N25*dens_air</f>
        <v>0.03643968763</v>
      </c>
      <c r="O26" s="115">
        <f>O25*dens_air</f>
        <v>0.0425129689</v>
      </c>
      <c r="P26" s="115">
        <f>P25*dens_air</f>
        <v>0.04858625017</v>
      </c>
      <c r="Q26" s="115">
        <f>Q25*dens_air</f>
        <v>0.05465953144</v>
      </c>
      <c r="R26" s="115">
        <f>R25*dens_air</f>
        <v>0.1214656254</v>
      </c>
      <c r="S26" s="115">
        <f>S25*dens_air</f>
        <v>0.1821984381</v>
      </c>
      <c r="T26" s="115">
        <f>T25*dens_air</f>
        <v>0.2429312509</v>
      </c>
      <c r="U26" s="115">
        <f>U25*dens_air</f>
        <v>0.3036640636</v>
      </c>
      <c r="V26" s="115">
        <f>V25*dens_air</f>
        <v>0.425129689</v>
      </c>
      <c r="W26" s="115">
        <f>W25*dens_air</f>
        <v>0.4858625017</v>
      </c>
      <c r="Y26" s="5">
        <v>50.0</v>
      </c>
      <c r="Z26" s="40">
        <f>M33</f>
        <v>3.294369102</v>
      </c>
      <c r="AA26" s="31">
        <f>M34</f>
        <v>1.844945173</v>
      </c>
    </row>
    <row r="27">
      <c r="F27" s="114" t="s">
        <v>194</v>
      </c>
      <c r="G27" s="116">
        <f t="shared" ref="G27:W27" si="1">G25/$C$19</f>
        <v>0.02612571466</v>
      </c>
      <c r="H27" s="116">
        <f t="shared" si="1"/>
        <v>0.1306285733</v>
      </c>
      <c r="I27" s="116">
        <f t="shared" si="1"/>
        <v>0.2612571466</v>
      </c>
      <c r="J27" s="116">
        <f t="shared" si="1"/>
        <v>0.5225142932</v>
      </c>
      <c r="K27" s="116">
        <f t="shared" si="1"/>
        <v>0.7837714399</v>
      </c>
      <c r="L27" s="116">
        <f t="shared" si="1"/>
        <v>1.045028586</v>
      </c>
      <c r="M27" s="116">
        <f t="shared" si="1"/>
        <v>1.306285733</v>
      </c>
      <c r="N27" s="116">
        <f t="shared" si="1"/>
        <v>1.56754288</v>
      </c>
      <c r="O27" s="116">
        <f t="shared" si="1"/>
        <v>1.828800026</v>
      </c>
      <c r="P27" s="116">
        <f t="shared" si="1"/>
        <v>2.090057173</v>
      </c>
      <c r="Q27" s="116">
        <f t="shared" si="1"/>
        <v>2.35131432</v>
      </c>
      <c r="R27" s="116">
        <f t="shared" si="1"/>
        <v>5.225142932</v>
      </c>
      <c r="S27" s="116">
        <f t="shared" si="1"/>
        <v>7.837714399</v>
      </c>
      <c r="T27" s="116">
        <f t="shared" si="1"/>
        <v>10.45028586</v>
      </c>
      <c r="U27" s="116">
        <f t="shared" si="1"/>
        <v>13.06285733</v>
      </c>
      <c r="V27" s="116">
        <f t="shared" si="1"/>
        <v>18.28800026</v>
      </c>
      <c r="W27" s="116">
        <f t="shared" si="1"/>
        <v>20.90057173</v>
      </c>
      <c r="Y27" s="5">
        <v>60.0</v>
      </c>
      <c r="Z27" s="40">
        <f>N33</f>
        <v>3.311794523</v>
      </c>
      <c r="AA27" s="31">
        <f>N34</f>
        <v>2.120787644</v>
      </c>
    </row>
    <row r="28">
      <c r="F28" s="117" t="s">
        <v>195</v>
      </c>
      <c r="G28" s="118">
        <f>G27*$C$8/kin_vis_air</f>
        <v>636.3222009</v>
      </c>
      <c r="H28" s="118">
        <f>H27*$C$8/kin_vis_air</f>
        <v>3181.611005</v>
      </c>
      <c r="I28" s="118">
        <f>I27*$C$8/kin_vis_air</f>
        <v>6363.222009</v>
      </c>
      <c r="J28" s="118">
        <f>J27*$C$8/kin_vis_air</f>
        <v>12726.44402</v>
      </c>
      <c r="K28" s="118">
        <f>K27*$C$8/kin_vis_air</f>
        <v>19089.66603</v>
      </c>
      <c r="L28" s="118">
        <f>L27*$C$8/kin_vis_air</f>
        <v>25452.88804</v>
      </c>
      <c r="M28" s="118">
        <f>M27*$C$8/kin_vis_air</f>
        <v>31816.11005</v>
      </c>
      <c r="N28" s="118">
        <f>N27*$C$8/kin_vis_air</f>
        <v>38179.33206</v>
      </c>
      <c r="O28" s="118">
        <f>O27*$C$8/kin_vis_air</f>
        <v>44542.55407</v>
      </c>
      <c r="P28" s="118">
        <f>P27*$C$8/kin_vis_air</f>
        <v>50905.77608</v>
      </c>
      <c r="Q28" s="118">
        <f>Q27*$C$8/kin_vis_air</f>
        <v>57268.99809</v>
      </c>
      <c r="R28" s="118">
        <f>R27*$C$8/kin_vis_air</f>
        <v>127264.4402</v>
      </c>
      <c r="S28" s="118">
        <f>S27*$C$8/kin_vis_air</f>
        <v>190896.6603</v>
      </c>
      <c r="T28" s="118">
        <f>T27*$C$8/kin_vis_air</f>
        <v>254528.8804</v>
      </c>
      <c r="U28" s="118">
        <f>U27*$C$8/kin_vis_air</f>
        <v>318161.1005</v>
      </c>
      <c r="V28" s="118">
        <f>V27*$C$8/kin_vis_air</f>
        <v>445425.5407</v>
      </c>
      <c r="W28" s="118">
        <f>W27*$C$8/kin_vis_air</f>
        <v>509057.7608</v>
      </c>
      <c r="Y28" s="5">
        <v>70.0</v>
      </c>
      <c r="Z28" s="40">
        <f>O33</f>
        <v>3.325401183</v>
      </c>
      <c r="AA28" s="31">
        <f>O34</f>
        <v>2.317817981</v>
      </c>
    </row>
    <row r="29">
      <c r="F29" s="119" t="s">
        <v>196</v>
      </c>
      <c r="G29" s="120" t="str">
        <f t="shared" ref="G29:W29" si="2">if(G28&lt;(5*10^5),"Laminar","Turbulent")</f>
        <v>Laminar</v>
      </c>
      <c r="H29" s="120" t="str">
        <f t="shared" si="2"/>
        <v>Laminar</v>
      </c>
      <c r="I29" s="120" t="str">
        <f t="shared" si="2"/>
        <v>Laminar</v>
      </c>
      <c r="J29" s="120" t="str">
        <f t="shared" si="2"/>
        <v>Laminar</v>
      </c>
      <c r="K29" s="120" t="str">
        <f t="shared" si="2"/>
        <v>Laminar</v>
      </c>
      <c r="L29" s="120" t="str">
        <f t="shared" si="2"/>
        <v>Laminar</v>
      </c>
      <c r="M29" s="120" t="str">
        <f t="shared" si="2"/>
        <v>Laminar</v>
      </c>
      <c r="N29" s="120" t="str">
        <f t="shared" si="2"/>
        <v>Laminar</v>
      </c>
      <c r="O29" s="120" t="str">
        <f t="shared" si="2"/>
        <v>Laminar</v>
      </c>
      <c r="P29" s="120" t="str">
        <f t="shared" si="2"/>
        <v>Laminar</v>
      </c>
      <c r="Q29" s="120" t="str">
        <f t="shared" si="2"/>
        <v>Laminar</v>
      </c>
      <c r="R29" s="120" t="str">
        <f t="shared" si="2"/>
        <v>Laminar</v>
      </c>
      <c r="S29" s="120" t="str">
        <f t="shared" si="2"/>
        <v>Laminar</v>
      </c>
      <c r="T29" s="120" t="str">
        <f t="shared" si="2"/>
        <v>Laminar</v>
      </c>
      <c r="U29" s="120" t="str">
        <f t="shared" si="2"/>
        <v>Laminar</v>
      </c>
      <c r="V29" s="120" t="str">
        <f t="shared" si="2"/>
        <v>Laminar</v>
      </c>
      <c r="W29" s="120" t="str">
        <f t="shared" si="2"/>
        <v>Turbulent</v>
      </c>
      <c r="Y29" s="5">
        <v>80.0</v>
      </c>
      <c r="Z29" s="40">
        <f>P33</f>
        <v>3.336409878</v>
      </c>
      <c r="AA29" s="31">
        <f>P34</f>
        <v>2.465590733</v>
      </c>
    </row>
    <row r="30">
      <c r="F30" s="80" t="s">
        <v>197</v>
      </c>
      <c r="G30" s="70">
        <f>if(G29="Laminar",0.664*G28^0.5*Pr^(1/3),"ERROR)")</f>
        <v>14.94259642</v>
      </c>
      <c r="H30" s="70">
        <f>if(H29="Laminar",0.664*H28^0.5*Pr^(1/3),"ERROR)")</f>
        <v>33.41266135</v>
      </c>
      <c r="I30" s="70">
        <f>if(I29="Laminar",0.664*I28^0.5*Pr^(1/3),"ERROR)")</f>
        <v>47.25263884</v>
      </c>
      <c r="J30" s="70">
        <f>if(J29="Laminar",0.664*J28^0.5*Pr^(1/3),"ERROR)")</f>
        <v>66.8253227</v>
      </c>
      <c r="K30" s="70">
        <f>if(K29="Laminar",0.664*K28^0.5*Pr^(1/3),"ERROR)")</f>
        <v>81.84397126</v>
      </c>
      <c r="L30" s="70">
        <f>if(L29="Laminar",0.664*L28^0.5*Pr^(1/3),"ERROR)")</f>
        <v>94.50527768</v>
      </c>
      <c r="M30" s="70">
        <f>if(M29="Laminar",0.664*M28^0.5*Pr^(1/3),"ERROR)")</f>
        <v>105.6601126</v>
      </c>
      <c r="N30" s="70">
        <f>if(N29="Laminar",0.664*N28^0.5*Pr^(1/3),"ERROR)")</f>
        <v>115.7448542</v>
      </c>
      <c r="O30" s="70">
        <f>if(O29="Laminar",0.664*O28^0.5*Pr^(1/3),"ERROR)")</f>
        <v>125.0187312</v>
      </c>
      <c r="P30" s="70">
        <f>if(P29="Laminar",0.664*P28^0.5*Pr^(1/3),"ERROR)")</f>
        <v>133.6506454</v>
      </c>
      <c r="Q30" s="70">
        <f>if(Q29="Laminar",0.664*Q28^0.5*Pr^(1/3),"ERROR)")</f>
        <v>141.7579165</v>
      </c>
      <c r="R30" s="70">
        <f>if(R29="Laminar",0.664*R28^0.5*Pr^(1/3),"ERROR)")</f>
        <v>211.3202251</v>
      </c>
      <c r="S30" s="70">
        <f>if(S29="Laminar",0.664*S28^0.5*Pr^(1/3),"ERROR)")</f>
        <v>258.8133619</v>
      </c>
      <c r="T30" s="70">
        <f>if(T29="Laminar",0.664*T28^0.5*Pr^(1/3),"ERROR)")</f>
        <v>298.8519284</v>
      </c>
      <c r="U30" s="70">
        <f>if(U29="Laminar",0.664*U28^0.5*Pr^(1/3),"ERROR)")</f>
        <v>334.1266135</v>
      </c>
      <c r="V30" s="70">
        <f>if(V29="Laminar",0.664*V28^0.5*Pr^(1/3),"ERROR)")</f>
        <v>395.3439407</v>
      </c>
      <c r="W30" s="70" t="str">
        <f>if(W29="Laminar",0.664*W28^0.5*Pr^(1/3),"ERROR)")</f>
        <v>ERROR)</v>
      </c>
      <c r="Y30" s="5">
        <v>90.0</v>
      </c>
      <c r="Z30" s="40">
        <f>Q33</f>
        <v>3.345556132</v>
      </c>
      <c r="AA30" s="31">
        <f>Q34</f>
        <v>2.580525096</v>
      </c>
    </row>
    <row r="31">
      <c r="F31" s="80" t="s">
        <v>198</v>
      </c>
      <c r="G31" s="70">
        <f>G30*k_air/'Backup of Step 3'!Length_block</f>
        <v>1.033291468</v>
      </c>
      <c r="H31" s="70">
        <f>H30*k_air/'Backup of Step 3'!Length_block</f>
        <v>2.310509962</v>
      </c>
      <c r="I31" s="70">
        <f>I30*k_air/'Backup of Step 3'!Length_block</f>
        <v>3.267554525</v>
      </c>
      <c r="J31" s="70">
        <f>J30*k_air/'Backup of Step 3'!Length_block</f>
        <v>4.621019925</v>
      </c>
      <c r="K31" s="70">
        <f>K30*k_air/'Backup of Step 3'!Length_block</f>
        <v>5.659570454</v>
      </c>
      <c r="L31" s="70">
        <f>L30*k_air/'Backup of Step 3'!Length_block</f>
        <v>6.53510905</v>
      </c>
      <c r="M31" s="70">
        <f>M30*k_air/'Backup of Step 3'!Length_block</f>
        <v>7.306474038</v>
      </c>
      <c r="N31" s="70">
        <f>N30*k_air/'Backup of Step 3'!Length_block</f>
        <v>8.003841293</v>
      </c>
      <c r="O31" s="70">
        <f>O30*k_air/'Backup of Step 3'!Length_block</f>
        <v>8.645136668</v>
      </c>
      <c r="P31" s="70">
        <f>P30*k_air/'Backup of Step 3'!Length_block</f>
        <v>9.24203985</v>
      </c>
      <c r="Q31" s="70">
        <f>Q30*k_air/'Backup of Step 3'!Length_block</f>
        <v>9.802663575</v>
      </c>
      <c r="R31" s="70">
        <f>R30*k_air/'Backup of Step 3'!Length_block</f>
        <v>14.61294808</v>
      </c>
      <c r="S31" s="70">
        <f>S30*k_air/'Backup of Step 3'!Length_block</f>
        <v>17.89713321</v>
      </c>
      <c r="T31" s="70">
        <f>T30*k_air/'Backup of Step 3'!Length_block</f>
        <v>20.66582936</v>
      </c>
      <c r="U31" s="70">
        <f>U30*k_air/'Backup of Step 3'!Length_block</f>
        <v>23.10509962</v>
      </c>
      <c r="V31" s="70">
        <f>V30*k_air/'Backup of Step 3'!Length_block</f>
        <v>27.33832256</v>
      </c>
      <c r="W31" s="70" t="str">
        <f>W30*k_air/'Backup of Step 3'!Length_block</f>
        <v>#VALUE!</v>
      </c>
      <c r="Y31" s="5">
        <v>200.0</v>
      </c>
      <c r="Z31" s="40">
        <f>R33</f>
        <v>3.395628345</v>
      </c>
      <c r="AA31" s="31">
        <f>R34</f>
        <v>3.086236293</v>
      </c>
    </row>
    <row r="32">
      <c r="Y32" s="5">
        <v>300.0</v>
      </c>
      <c r="Z32" s="40">
        <f>S33</f>
        <v>3.414544946</v>
      </c>
      <c r="AA32" s="31">
        <f>S34</f>
        <v>3.224157529</v>
      </c>
    </row>
    <row r="33">
      <c r="F33" s="5" t="s">
        <v>191</v>
      </c>
      <c r="G33" s="40">
        <f>T_surf-(T_surf-T_inlet)*exp(-G31*$C$20/(G26*cp_air*1000))</f>
        <v>2.281018153</v>
      </c>
      <c r="H33" s="40">
        <f>T_surf-(T_surf-T_inlet)*exp(-H31*$C$20/(H26*cp_air*1000))</f>
        <v>2.890103928</v>
      </c>
      <c r="I33" s="40">
        <f>T_surf-(T_surf-T_inlet)*exp(-I31*$C$20/(I26*cp_air*1000))</f>
        <v>3.056813017</v>
      </c>
      <c r="J33" s="40">
        <f>T_surf-(T_surf-T_inlet)*exp(-J31*$C$20/(J26*cp_air*1000))</f>
        <v>3.180465964</v>
      </c>
      <c r="K33" s="40">
        <f>T_surf-(T_surf-T_inlet)*exp(-K31*$C$20/(K26*cp_air*1000))</f>
        <v>3.236833256</v>
      </c>
      <c r="L33" s="40">
        <f>T_surf-(T_surf-T_inlet)*exp(-L31*$C$20/(L26*cp_air*1000))</f>
        <v>3.27090898</v>
      </c>
      <c r="M33" s="40">
        <f>T_surf-(T_surf-T_inlet)*exp(-M31*$C$20/(M26*cp_air*1000))</f>
        <v>3.294369102</v>
      </c>
      <c r="N33" s="40">
        <f>T_surf-(T_surf-T_inlet)*exp(-N31*$C$20/(N26*cp_air*1000))</f>
        <v>3.311794523</v>
      </c>
      <c r="O33" s="40">
        <f>T_surf-(T_surf-T_inlet)*exp(-O31*$C$20/(O26*cp_air*1000))</f>
        <v>3.325401183</v>
      </c>
      <c r="P33" s="40">
        <f>T_surf-(T_surf-T_inlet)*exp(-P31*$C$20/(P26*cp_air*1000))</f>
        <v>3.336409878</v>
      </c>
      <c r="Q33" s="40">
        <f>T_surf-(T_surf-T_inlet)*exp(-Q31*$C$20/(Q26*cp_air*1000))</f>
        <v>3.345556132</v>
      </c>
      <c r="R33" s="40">
        <f>T_surf-(T_surf-T_inlet)*exp(-R31*$C$20/(R26*cp_air*1000))</f>
        <v>3.395628345</v>
      </c>
      <c r="S33" s="40">
        <f>T_surf-(T_surf-T_inlet)*exp(-S31*$C$20/(S26*cp_air*1000))</f>
        <v>3.414544946</v>
      </c>
      <c r="T33" s="40">
        <f>T_surf-(T_surf-T_inlet)*exp(-T31*$C$20/(T26*cp_air*1000))</f>
        <v>3.42587158</v>
      </c>
      <c r="U33" s="40">
        <f>T_surf-(T_surf-T_inlet)*exp(-U31*$C$20/(U26*cp_air*1000))</f>
        <v>3.433622814</v>
      </c>
      <c r="V33" s="40">
        <f>T_surf-(T_surf-T_inlet)*exp(-V31*$C$20/(V26*cp_air*1000))</f>
        <v>3.443818061</v>
      </c>
      <c r="W33" s="40" t="str">
        <f>T_surf-(T_surf-T_inlet)*exp(-W31*$C$20/(W26*cp_air*1000))</f>
        <v>#VALUE!</v>
      </c>
      <c r="Y33" s="80">
        <v>400.0</v>
      </c>
      <c r="Z33" s="40">
        <f>T33</f>
        <v>3.42587158</v>
      </c>
      <c r="AA33" s="31">
        <f>T34</f>
        <v>3.293118147</v>
      </c>
    </row>
    <row r="34">
      <c r="F34" s="5" t="s">
        <v>192</v>
      </c>
      <c r="G34" s="31">
        <f>Avg_passive_cooling_load*-1/(G26*cp_air)+T_inlet</f>
        <v>-79.25274136</v>
      </c>
      <c r="H34" s="31">
        <f>Avg_passive_cooling_load*-1/(H26*cp_air)+T_inlet</f>
        <v>-13.05054827</v>
      </c>
      <c r="I34" s="31">
        <f>Avg_passive_cooling_load*-1/(I26*cp_air)+T_inlet</f>
        <v>-4.775274136</v>
      </c>
      <c r="J34" s="31">
        <f>Avg_passive_cooling_load*-1/(J26*cp_air)+T_inlet</f>
        <v>-0.6376370679</v>
      </c>
      <c r="K34" s="31">
        <f>Avg_passive_cooling_load*-1/(K26*cp_air)+T_inlet</f>
        <v>0.741575288</v>
      </c>
      <c r="L34" s="31">
        <f>Avg_passive_cooling_load*-1/(L26*cp_air)+T_inlet</f>
        <v>1.431181466</v>
      </c>
      <c r="M34" s="31">
        <f>Avg_passive_cooling_load*-1/(M26*cp_air)+T_inlet</f>
        <v>1.844945173</v>
      </c>
      <c r="N34" s="31">
        <f>Avg_passive_cooling_load*-1/(N26*cp_air)+T_inlet</f>
        <v>2.120787644</v>
      </c>
      <c r="O34" s="31">
        <f>Avg_passive_cooling_load*-1/(O26*cp_air)+T_inlet</f>
        <v>2.317817981</v>
      </c>
      <c r="P34" s="31">
        <f>Avg_passive_cooling_load*-1/(P26*cp_air)+T_inlet</f>
        <v>2.465590733</v>
      </c>
      <c r="Q34" s="31">
        <f>Avg_passive_cooling_load*-1/(Q26*cp_air)+T_inlet</f>
        <v>2.580525096</v>
      </c>
      <c r="R34" s="31">
        <f>Avg_passive_cooling_load*-1/(R26*cp_air)+T_inlet</f>
        <v>3.086236293</v>
      </c>
      <c r="S34" s="31">
        <f>Avg_passive_cooling_load*-1/(S26*cp_air)+T_inlet</f>
        <v>3.224157529</v>
      </c>
      <c r="T34" s="31">
        <f>Avg_passive_cooling_load*-1/(T26*cp_air)+T_inlet</f>
        <v>3.293118147</v>
      </c>
      <c r="U34" s="31">
        <f>Avg_passive_cooling_load*-1/(U26*cp_air)+T_inlet</f>
        <v>3.334494517</v>
      </c>
      <c r="V34" s="31">
        <f>Avg_passive_cooling_load*-1/(V26*cp_air)+T_inlet</f>
        <v>3.381781798</v>
      </c>
      <c r="W34" s="31">
        <f>Avg_passive_cooling_load*-1/(W26*cp_air)+T_inlet</f>
        <v>3.396559073</v>
      </c>
      <c r="Y34" s="80">
        <v>500.0</v>
      </c>
      <c r="Z34" s="40">
        <f>U33</f>
        <v>3.433622814</v>
      </c>
      <c r="AA34" s="31">
        <f>U34</f>
        <v>3.334494517</v>
      </c>
    </row>
    <row r="35">
      <c r="F35" s="5" t="s">
        <v>199</v>
      </c>
      <c r="G35" s="40">
        <f t="shared" ref="G35:W35" si="3">G33-G34</f>
        <v>81.53375951</v>
      </c>
      <c r="H35" s="40">
        <f t="shared" si="3"/>
        <v>15.9406522</v>
      </c>
      <c r="I35" s="40">
        <f t="shared" si="3"/>
        <v>7.832087153</v>
      </c>
      <c r="J35" s="40">
        <f t="shared" si="3"/>
        <v>3.818103032</v>
      </c>
      <c r="K35" s="40">
        <f t="shared" si="3"/>
        <v>2.495257968</v>
      </c>
      <c r="L35" s="40">
        <f t="shared" si="3"/>
        <v>1.839727514</v>
      </c>
      <c r="M35" s="40">
        <f t="shared" si="3"/>
        <v>1.449423929</v>
      </c>
      <c r="N35" s="40">
        <f t="shared" si="3"/>
        <v>1.191006879</v>
      </c>
      <c r="O35" s="40">
        <f t="shared" si="3"/>
        <v>1.007583202</v>
      </c>
      <c r="P35" s="40">
        <f t="shared" si="3"/>
        <v>0.8708191449</v>
      </c>
      <c r="Q35" s="40">
        <f t="shared" si="3"/>
        <v>0.765031036</v>
      </c>
      <c r="R35" s="40">
        <f t="shared" si="3"/>
        <v>0.3093920515</v>
      </c>
      <c r="S35" s="40">
        <f t="shared" si="3"/>
        <v>0.1903874168</v>
      </c>
      <c r="T35" s="40">
        <f t="shared" si="3"/>
        <v>0.1327534331</v>
      </c>
      <c r="U35" s="40">
        <f t="shared" si="3"/>
        <v>0.09912829721</v>
      </c>
      <c r="V35" s="40">
        <f t="shared" si="3"/>
        <v>0.06203626252</v>
      </c>
      <c r="W35" s="31" t="str">
        <f t="shared" si="3"/>
        <v>#VALUE!</v>
      </c>
      <c r="Y35" s="80">
        <v>700.0</v>
      </c>
      <c r="Z35" s="40">
        <f>V33</f>
        <v>3.443818061</v>
      </c>
      <c r="AA35" s="31">
        <f>V34</f>
        <v>3.381781798</v>
      </c>
    </row>
    <row r="36">
      <c r="H36" s="121" t="s">
        <v>200</v>
      </c>
    </row>
    <row r="37">
      <c r="A37" s="106"/>
      <c r="B37" s="106"/>
      <c r="C37" s="106"/>
      <c r="D37" s="106"/>
      <c r="E37" s="106"/>
      <c r="F37" s="106"/>
      <c r="G37" s="106"/>
      <c r="H37" s="106"/>
      <c r="I37" s="106"/>
      <c r="J37" s="106"/>
      <c r="K37" s="106"/>
      <c r="L37" s="106"/>
      <c r="M37" s="106"/>
      <c r="N37" s="106"/>
      <c r="O37" s="106"/>
      <c r="P37" s="106"/>
      <c r="Q37" s="106"/>
      <c r="R37" s="106"/>
      <c r="S37" s="106"/>
      <c r="T37" s="107"/>
      <c r="U37" s="107"/>
      <c r="V37" s="106"/>
      <c r="W37" s="106"/>
      <c r="X37" s="106"/>
      <c r="Y37" s="106"/>
      <c r="Z37" s="106"/>
      <c r="AA37" s="106"/>
      <c r="AB37" s="106"/>
      <c r="AC37" s="106"/>
      <c r="AD37" s="106"/>
      <c r="AE37" s="106"/>
    </row>
    <row r="38">
      <c r="T38" s="5"/>
      <c r="U38" s="5"/>
    </row>
    <row r="39">
      <c r="B39" s="108" t="s">
        <v>182</v>
      </c>
      <c r="C39" s="109"/>
      <c r="T39" s="5"/>
      <c r="U39" s="5"/>
    </row>
    <row r="40">
      <c r="B40" s="110" t="s">
        <v>183</v>
      </c>
      <c r="C40" s="110">
        <v>0.5</v>
      </c>
      <c r="T40" s="5"/>
      <c r="U40" s="5"/>
    </row>
    <row r="41">
      <c r="B41" s="111" t="s">
        <v>184</v>
      </c>
      <c r="C41" s="112">
        <f>C40*m_per_in</f>
        <v>0.0127</v>
      </c>
      <c r="T41" s="5"/>
      <c r="U41" s="5"/>
    </row>
    <row r="42">
      <c r="B42" s="110" t="s">
        <v>185</v>
      </c>
      <c r="C42" s="110">
        <v>7.0</v>
      </c>
      <c r="T42" s="5"/>
      <c r="U42" s="5"/>
    </row>
    <row r="43">
      <c r="B43" s="111" t="s">
        <v>186</v>
      </c>
      <c r="C43" s="113">
        <f>'Backup of Step 3'!Depth_block*C41*(C42+1)</f>
        <v>0.03612896</v>
      </c>
    </row>
    <row r="44">
      <c r="B44" s="111" t="s">
        <v>187</v>
      </c>
      <c r="C44" s="113">
        <f>'Backup of Step 3'!Area_block*2*C42</f>
        <v>1.77031904</v>
      </c>
    </row>
    <row r="46">
      <c r="O46" s="40"/>
      <c r="P46" s="40"/>
      <c r="Q46" s="40"/>
      <c r="R46" s="40"/>
      <c r="S46" s="40"/>
    </row>
    <row r="47">
      <c r="T47" s="40"/>
      <c r="U47" s="40"/>
      <c r="Z47" s="40"/>
      <c r="AA47" s="40"/>
      <c r="AB47" s="40"/>
      <c r="AC47" s="40"/>
      <c r="AD47" s="40"/>
      <c r="AE47" s="40"/>
      <c r="AF47" s="40"/>
      <c r="AG47" s="40"/>
      <c r="AH47" s="40"/>
      <c r="AI47" s="40"/>
      <c r="AJ47" s="40"/>
      <c r="AK47" s="40"/>
    </row>
    <row r="49">
      <c r="F49" s="114" t="s">
        <v>188</v>
      </c>
      <c r="G49" s="80">
        <v>1.0</v>
      </c>
      <c r="H49" s="80">
        <v>5.0</v>
      </c>
      <c r="I49" s="80">
        <v>10.0</v>
      </c>
      <c r="J49" s="80">
        <v>20.0</v>
      </c>
      <c r="K49" s="80">
        <v>30.0</v>
      </c>
      <c r="L49" s="80">
        <v>40.0</v>
      </c>
      <c r="M49" s="80">
        <v>50.0</v>
      </c>
      <c r="N49" s="80">
        <v>60.0</v>
      </c>
      <c r="O49" s="80">
        <v>70.0</v>
      </c>
      <c r="P49" s="80">
        <v>80.0</v>
      </c>
      <c r="Q49" s="80">
        <v>90.0</v>
      </c>
      <c r="R49" s="80">
        <v>200.0</v>
      </c>
      <c r="S49" s="80">
        <v>300.0</v>
      </c>
      <c r="T49" s="80">
        <v>400.0</v>
      </c>
      <c r="U49" s="80">
        <v>500.0</v>
      </c>
      <c r="V49" s="80">
        <v>700.0</v>
      </c>
      <c r="W49" s="80">
        <v>800.0</v>
      </c>
    </row>
    <row r="50">
      <c r="F50" s="114" t="s">
        <v>189</v>
      </c>
      <c r="G50" s="115">
        <f>G49*mcube_per_cfm</f>
        <v>0.00047194745</v>
      </c>
      <c r="H50" s="115">
        <f>H49*mcube_per_cfm</f>
        <v>0.00235973725</v>
      </c>
      <c r="I50" s="115">
        <f>I49*mcube_per_cfm</f>
        <v>0.0047194745</v>
      </c>
      <c r="J50" s="115">
        <f>J49*mcube_per_cfm</f>
        <v>0.009438949</v>
      </c>
      <c r="K50" s="115">
        <f>K49*mcube_per_cfm</f>
        <v>0.0141584235</v>
      </c>
      <c r="L50" s="115">
        <f>L49*mcube_per_cfm</f>
        <v>0.018877898</v>
      </c>
      <c r="M50" s="115">
        <f>M49*mcube_per_cfm</f>
        <v>0.0235973725</v>
      </c>
      <c r="N50" s="115">
        <f>N49*mcube_per_cfm</f>
        <v>0.028316847</v>
      </c>
      <c r="O50" s="115">
        <f>O49*mcube_per_cfm</f>
        <v>0.0330363215</v>
      </c>
      <c r="P50" s="115">
        <f>P49*mcube_per_cfm</f>
        <v>0.037755796</v>
      </c>
      <c r="Q50" s="115">
        <f>Q49*mcube_per_cfm</f>
        <v>0.0424752705</v>
      </c>
      <c r="R50" s="115">
        <f>R49*mcube_per_cfm</f>
        <v>0.09438949</v>
      </c>
      <c r="S50" s="115">
        <f>S49*mcube_per_cfm</f>
        <v>0.141584235</v>
      </c>
      <c r="T50" s="115">
        <f>T49*mcube_per_cfm</f>
        <v>0.18877898</v>
      </c>
      <c r="U50" s="115">
        <f>U49*mcube_per_cfm</f>
        <v>0.235973725</v>
      </c>
      <c r="V50" s="115">
        <f>V49*mcube_per_cfm</f>
        <v>0.330363215</v>
      </c>
      <c r="W50" s="115">
        <f>W49*mcube_per_cfm</f>
        <v>0.37755796</v>
      </c>
      <c r="Y50" s="5" t="s">
        <v>190</v>
      </c>
      <c r="Z50" s="5" t="s">
        <v>191</v>
      </c>
      <c r="AA50" s="5" t="s">
        <v>192</v>
      </c>
    </row>
    <row r="51">
      <c r="F51" s="114" t="s">
        <v>193</v>
      </c>
      <c r="G51" s="115">
        <f>G50*dens_air</f>
        <v>0.0006073281271</v>
      </c>
      <c r="H51" s="115">
        <f>H50*dens_air</f>
        <v>0.003036640636</v>
      </c>
      <c r="I51" s="115">
        <f>I50*dens_air</f>
        <v>0.006073281271</v>
      </c>
      <c r="J51" s="115">
        <f>J50*dens_air</f>
        <v>0.01214656254</v>
      </c>
      <c r="K51" s="115">
        <f>K50*dens_air</f>
        <v>0.01821984381</v>
      </c>
      <c r="L51" s="115">
        <f>L50*dens_air</f>
        <v>0.02429312509</v>
      </c>
      <c r="M51" s="115">
        <f>M50*dens_air</f>
        <v>0.03036640636</v>
      </c>
      <c r="N51" s="115">
        <f>N50*dens_air</f>
        <v>0.03643968763</v>
      </c>
      <c r="O51" s="115">
        <f>O50*dens_air</f>
        <v>0.0425129689</v>
      </c>
      <c r="P51" s="115">
        <f>P50*dens_air</f>
        <v>0.04858625017</v>
      </c>
      <c r="Q51" s="115">
        <f>Q50*dens_air</f>
        <v>0.05465953144</v>
      </c>
      <c r="R51" s="115">
        <f>R50*dens_air</f>
        <v>0.1214656254</v>
      </c>
      <c r="S51" s="115">
        <f>S50*dens_air</f>
        <v>0.1821984381</v>
      </c>
      <c r="T51" s="115">
        <f>T50*dens_air</f>
        <v>0.2429312509</v>
      </c>
      <c r="U51" s="115">
        <f>U50*dens_air</f>
        <v>0.3036640636</v>
      </c>
      <c r="V51" s="115">
        <f>V50*dens_air</f>
        <v>0.425129689</v>
      </c>
      <c r="W51" s="115">
        <f>W50*dens_air</f>
        <v>0.4858625017</v>
      </c>
      <c r="Y51" s="80">
        <v>50.0</v>
      </c>
      <c r="Z51" s="40">
        <f>M58</f>
        <v>2.593644999</v>
      </c>
      <c r="AA51" s="31">
        <f>M59</f>
        <v>1.844945173</v>
      </c>
    </row>
    <row r="52">
      <c r="F52" s="114" t="s">
        <v>194</v>
      </c>
      <c r="G52" s="116">
        <f t="shared" ref="G52:W52" si="4">G50/$C$43</f>
        <v>0.01306285733</v>
      </c>
      <c r="H52" s="116">
        <f t="shared" si="4"/>
        <v>0.06531428666</v>
      </c>
      <c r="I52" s="116">
        <f t="shared" si="4"/>
        <v>0.1306285733</v>
      </c>
      <c r="J52" s="116">
        <f t="shared" si="4"/>
        <v>0.2612571466</v>
      </c>
      <c r="K52" s="116">
        <f t="shared" si="4"/>
        <v>0.3918857199</v>
      </c>
      <c r="L52" s="116">
        <f t="shared" si="4"/>
        <v>0.5225142932</v>
      </c>
      <c r="M52" s="116">
        <f t="shared" si="4"/>
        <v>0.6531428666</v>
      </c>
      <c r="N52" s="116">
        <f t="shared" si="4"/>
        <v>0.7837714399</v>
      </c>
      <c r="O52" s="116">
        <f t="shared" si="4"/>
        <v>0.9144000132</v>
      </c>
      <c r="P52" s="116">
        <f t="shared" si="4"/>
        <v>1.045028586</v>
      </c>
      <c r="Q52" s="116">
        <f t="shared" si="4"/>
        <v>1.17565716</v>
      </c>
      <c r="R52" s="116">
        <f t="shared" si="4"/>
        <v>2.612571466</v>
      </c>
      <c r="S52" s="116">
        <f t="shared" si="4"/>
        <v>3.918857199</v>
      </c>
      <c r="T52" s="116">
        <f t="shared" si="4"/>
        <v>5.225142932</v>
      </c>
      <c r="U52" s="116">
        <f t="shared" si="4"/>
        <v>6.531428666</v>
      </c>
      <c r="V52" s="116">
        <f t="shared" si="4"/>
        <v>9.144000132</v>
      </c>
      <c r="W52" s="116">
        <f t="shared" si="4"/>
        <v>10.45028586</v>
      </c>
      <c r="Y52" s="80">
        <v>60.0</v>
      </c>
      <c r="Z52" s="40">
        <f>N58</f>
        <v>2.662263485</v>
      </c>
      <c r="AA52" s="31">
        <f>N59</f>
        <v>2.120787644</v>
      </c>
    </row>
    <row r="53">
      <c r="F53" s="117" t="s">
        <v>195</v>
      </c>
      <c r="G53" s="118">
        <f>G52*$C$8/kin_vis_air</f>
        <v>318.1611005</v>
      </c>
      <c r="H53" s="118">
        <f>H52*$C$8/kin_vis_air</f>
        <v>1590.805502</v>
      </c>
      <c r="I53" s="118">
        <f>I52*$C$8/kin_vis_air</f>
        <v>3181.611005</v>
      </c>
      <c r="J53" s="118">
        <f>J52*$C$8/kin_vis_air</f>
        <v>6363.222009</v>
      </c>
      <c r="K53" s="118">
        <f>K52*$C$8/kin_vis_air</f>
        <v>9544.833014</v>
      </c>
      <c r="L53" s="118">
        <f>L52*$C$8/kin_vis_air</f>
        <v>12726.44402</v>
      </c>
      <c r="M53" s="118">
        <f>M52*$C$8/kin_vis_air</f>
        <v>15908.05502</v>
      </c>
      <c r="N53" s="118">
        <f>N52*$C$8/kin_vis_air</f>
        <v>19089.66603</v>
      </c>
      <c r="O53" s="118">
        <f>O52*$C$8/kin_vis_air</f>
        <v>22271.27703</v>
      </c>
      <c r="P53" s="118">
        <f>P52*$C$8/kin_vis_air</f>
        <v>25452.88804</v>
      </c>
      <c r="Q53" s="118">
        <f>Q52*$C$8/kin_vis_air</f>
        <v>28634.49904</v>
      </c>
      <c r="R53" s="118">
        <f>R52*$C$8/kin_vis_air</f>
        <v>63632.22009</v>
      </c>
      <c r="S53" s="118">
        <f>S52*$C$8/kin_vis_air</f>
        <v>95448.33014</v>
      </c>
      <c r="T53" s="118">
        <f>T52*$C$8/kin_vis_air</f>
        <v>127264.4402</v>
      </c>
      <c r="U53" s="118">
        <f>U52*$C$8/kin_vis_air</f>
        <v>159080.5502</v>
      </c>
      <c r="V53" s="118">
        <f>V52*$C$8/kin_vis_air</f>
        <v>222712.7703</v>
      </c>
      <c r="W53" s="118">
        <f>W52*$C$8/kin_vis_air</f>
        <v>254528.8804</v>
      </c>
      <c r="Y53" s="80">
        <v>70.0</v>
      </c>
      <c r="Z53" s="40">
        <f>O58</f>
        <v>2.716845046</v>
      </c>
      <c r="AA53" s="31">
        <f>O59</f>
        <v>2.317817981</v>
      </c>
    </row>
    <row r="54">
      <c r="F54" s="119" t="s">
        <v>196</v>
      </c>
      <c r="G54" s="120" t="str">
        <f t="shared" ref="G54:W54" si="5">if(G53&lt;(5*10^5),"Laminar","Turbulent")</f>
        <v>Laminar</v>
      </c>
      <c r="H54" s="120" t="str">
        <f t="shared" si="5"/>
        <v>Laminar</v>
      </c>
      <c r="I54" s="120" t="str">
        <f t="shared" si="5"/>
        <v>Laminar</v>
      </c>
      <c r="J54" s="120" t="str">
        <f t="shared" si="5"/>
        <v>Laminar</v>
      </c>
      <c r="K54" s="120" t="str">
        <f t="shared" si="5"/>
        <v>Laminar</v>
      </c>
      <c r="L54" s="120" t="str">
        <f t="shared" si="5"/>
        <v>Laminar</v>
      </c>
      <c r="M54" s="120" t="str">
        <f t="shared" si="5"/>
        <v>Laminar</v>
      </c>
      <c r="N54" s="120" t="str">
        <f t="shared" si="5"/>
        <v>Laminar</v>
      </c>
      <c r="O54" s="120" t="str">
        <f t="shared" si="5"/>
        <v>Laminar</v>
      </c>
      <c r="P54" s="120" t="str">
        <f t="shared" si="5"/>
        <v>Laminar</v>
      </c>
      <c r="Q54" s="120" t="str">
        <f t="shared" si="5"/>
        <v>Laminar</v>
      </c>
      <c r="R54" s="120" t="str">
        <f t="shared" si="5"/>
        <v>Laminar</v>
      </c>
      <c r="S54" s="120" t="str">
        <f t="shared" si="5"/>
        <v>Laminar</v>
      </c>
      <c r="T54" s="120" t="str">
        <f t="shared" si="5"/>
        <v>Laminar</v>
      </c>
      <c r="U54" s="120" t="str">
        <f t="shared" si="5"/>
        <v>Laminar</v>
      </c>
      <c r="V54" s="120" t="str">
        <f t="shared" si="5"/>
        <v>Laminar</v>
      </c>
      <c r="W54" s="120" t="str">
        <f t="shared" si="5"/>
        <v>Laminar</v>
      </c>
      <c r="Y54" s="80">
        <v>80.0</v>
      </c>
      <c r="Z54" s="40">
        <f>P58</f>
        <v>2.761655464</v>
      </c>
      <c r="AA54" s="31">
        <f>P59</f>
        <v>2.465590733</v>
      </c>
    </row>
    <row r="55">
      <c r="F55" s="80" t="s">
        <v>197</v>
      </c>
      <c r="G55" s="70">
        <f>if(G54="Laminar",0.664*G53^0.5*Pr^(1/3),"ERROR)")</f>
        <v>10.56601126</v>
      </c>
      <c r="H55" s="70">
        <f>if(H54="Laminar",0.664*H53^0.5*Pr^(1/3),"ERROR)")</f>
        <v>23.62631942</v>
      </c>
      <c r="I55" s="70">
        <f>if(I54="Laminar",0.664*I53^0.5*Pr^(1/3),"ERROR)")</f>
        <v>33.41266135</v>
      </c>
      <c r="J55" s="70">
        <f>if(J54="Laminar",0.664*J53^0.5*Pr^(1/3),"ERROR)")</f>
        <v>47.25263884</v>
      </c>
      <c r="K55" s="70">
        <f>if(K54="Laminar",0.664*K53^0.5*Pr^(1/3),"ERROR)")</f>
        <v>57.87242708</v>
      </c>
      <c r="L55" s="70">
        <f>if(L54="Laminar",0.664*L53^0.5*Pr^(1/3),"ERROR)")</f>
        <v>66.8253227</v>
      </c>
      <c r="M55" s="70">
        <f>if(M54="Laminar",0.664*M53^0.5*Pr^(1/3),"ERROR)")</f>
        <v>74.71298209</v>
      </c>
      <c r="N55" s="70">
        <f>if(N54="Laminar",0.664*N53^0.5*Pr^(1/3),"ERROR)")</f>
        <v>81.84397126</v>
      </c>
      <c r="O55" s="70">
        <f>if(O54="Laminar",0.664*O53^0.5*Pr^(1/3),"ERROR)")</f>
        <v>88.40159258</v>
      </c>
      <c r="P55" s="70">
        <f>if(P54="Laminar",0.664*P53^0.5*Pr^(1/3),"ERROR)")</f>
        <v>94.50527768</v>
      </c>
      <c r="Q55" s="70">
        <f>if(Q54="Laminar",0.664*Q53^0.5*Pr^(1/3),"ERROR)")</f>
        <v>100.2379841</v>
      </c>
      <c r="R55" s="70">
        <f>if(R54="Laminar",0.664*R53^0.5*Pr^(1/3),"ERROR)")</f>
        <v>149.4259642</v>
      </c>
      <c r="S55" s="70">
        <f>if(S54="Laminar",0.664*S53^0.5*Pr^(1/3),"ERROR)")</f>
        <v>183.0086833</v>
      </c>
      <c r="T55" s="70">
        <f>if(T54="Laminar",0.664*T53^0.5*Pr^(1/3),"ERROR)")</f>
        <v>211.3202251</v>
      </c>
      <c r="U55" s="70">
        <f>if(U54="Laminar",0.664*U53^0.5*Pr^(1/3),"ERROR)")</f>
        <v>236.2631942</v>
      </c>
      <c r="V55" s="70">
        <f>if(V54="Laminar",0.664*V53^0.5*Pr^(1/3),"ERROR)")</f>
        <v>279.5503813</v>
      </c>
      <c r="W55" s="70">
        <f>if(W54="Laminar",0.664*W53^0.5*Pr^(1/3),"ERROR)")</f>
        <v>298.8519284</v>
      </c>
      <c r="Y55" s="5">
        <v>90.0</v>
      </c>
      <c r="Z55" s="40">
        <f>Q58</f>
        <v>2.799331704</v>
      </c>
      <c r="AA55" s="31">
        <f>Q59</f>
        <v>2.580525096</v>
      </c>
    </row>
    <row r="56">
      <c r="F56" s="80" t="s">
        <v>198</v>
      </c>
      <c r="G56" s="70">
        <f>G55*k_air/'Backup of Step 3'!Length_block</f>
        <v>0.7306474038</v>
      </c>
      <c r="H56" s="70">
        <f>H55*k_air/'Backup of Step 3'!Length_block</f>
        <v>1.633777262</v>
      </c>
      <c r="I56" s="70">
        <f>I55*k_air/'Backup of Step 3'!Length_block</f>
        <v>2.310509962</v>
      </c>
      <c r="J56" s="70">
        <f>J55*k_air/'Backup of Step 3'!Length_block</f>
        <v>3.267554525</v>
      </c>
      <c r="K56" s="70">
        <f>K55*k_air/'Backup of Step 3'!Length_block</f>
        <v>4.001920646</v>
      </c>
      <c r="L56" s="70">
        <f>L55*k_air/'Backup of Step 3'!Length_block</f>
        <v>4.621019925</v>
      </c>
      <c r="M56" s="70">
        <f>M55*k_air/'Backup of Step 3'!Length_block</f>
        <v>5.166457339</v>
      </c>
      <c r="N56" s="70">
        <f>N55*k_air/'Backup of Step 3'!Length_block</f>
        <v>5.659570454</v>
      </c>
      <c r="O56" s="70">
        <f>O55*k_air/'Backup of Step 3'!Length_block</f>
        <v>6.113034762</v>
      </c>
      <c r="P56" s="70">
        <f>P55*k_air/'Backup of Step 3'!Length_block</f>
        <v>6.53510905</v>
      </c>
      <c r="Q56" s="70">
        <f>Q55*k_air/'Backup of Step 3'!Length_block</f>
        <v>6.931529887</v>
      </c>
      <c r="R56" s="70">
        <f>R55*k_air/'Backup of Step 3'!Length_block</f>
        <v>10.33291468</v>
      </c>
      <c r="S56" s="70">
        <f>S55*k_air/'Backup of Step 3'!Length_block</f>
        <v>12.65518426</v>
      </c>
      <c r="T56" s="70">
        <f>T55*k_air/'Backup of Step 3'!Length_block</f>
        <v>14.61294808</v>
      </c>
      <c r="U56" s="70">
        <f>U55*k_air/'Backup of Step 3'!Length_block</f>
        <v>16.33777262</v>
      </c>
      <c r="V56" s="70">
        <f>V55*k_air/'Backup of Step 3'!Length_block</f>
        <v>19.33111327</v>
      </c>
      <c r="W56" s="70">
        <f>W55*k_air/'Backup of Step 3'!Length_block</f>
        <v>20.66582936</v>
      </c>
      <c r="Y56" s="80">
        <v>200.0</v>
      </c>
      <c r="Z56" s="40">
        <f>R58</f>
        <v>3.012931711</v>
      </c>
      <c r="AA56" s="31">
        <f>R59</f>
        <v>3.086236293</v>
      </c>
    </row>
    <row r="57">
      <c r="Y57" s="80">
        <v>300.0</v>
      </c>
      <c r="Z57" s="40">
        <f>S58</f>
        <v>3.096930524</v>
      </c>
      <c r="AA57" s="31">
        <f>S59</f>
        <v>3.224157529</v>
      </c>
    </row>
    <row r="58">
      <c r="F58" s="5" t="s">
        <v>191</v>
      </c>
      <c r="G58" s="40">
        <f>T_surf-(T_surf-T_inlet)*exp(-G56*$C$44/(G51*cp_air*1000))</f>
        <v>0.4204510596</v>
      </c>
      <c r="H58" s="40">
        <f>T_surf-(T_surf-T_inlet)*exp(-H56*$C$44/(H51*cp_air*1000))</f>
        <v>1.356668846</v>
      </c>
      <c r="I58" s="40">
        <f>T_surf-(T_surf-T_inlet)*exp(-I56*$C$44/(I51*cp_air*1000))</f>
        <v>1.790717179</v>
      </c>
      <c r="J58" s="40">
        <f>T_surf-(T_surf-T_inlet)*exp(-J56*$C$44/(J51*cp_air*1000))</f>
        <v>2.179068829</v>
      </c>
      <c r="K58" s="40">
        <f>T_surf-(T_surf-T_inlet)*exp(-K56*$C$44/(K51*cp_air*1000))</f>
        <v>2.377034138</v>
      </c>
      <c r="L58" s="40">
        <f>T_surf-(T_surf-T_inlet)*exp(-L56*$C$44/(L51*cp_air*1000))</f>
        <v>2.503499576</v>
      </c>
      <c r="M58" s="40">
        <f>T_surf-(T_surf-T_inlet)*exp(-M56*$C$44/(M51*cp_air*1000))</f>
        <v>2.593644999</v>
      </c>
      <c r="N58" s="40">
        <f>T_surf-(T_surf-T_inlet)*exp(-N56*$C$44/(N51*cp_air*1000))</f>
        <v>2.662263485</v>
      </c>
      <c r="O58" s="40">
        <f>T_surf-(T_surf-T_inlet)*exp(-O56*$C$44/(O51*cp_air*1000))</f>
        <v>2.716845046</v>
      </c>
      <c r="P58" s="40">
        <f>T_surf-(T_surf-T_inlet)*exp(-P56*$C$44/(P51*cp_air*1000))</f>
        <v>2.761655464</v>
      </c>
      <c r="Q58" s="40">
        <f>T_surf-(T_surf-T_inlet)*exp(-Q56*$C$44/(Q51*cp_air*1000))</f>
        <v>2.799331704</v>
      </c>
      <c r="R58" s="40">
        <f>T_surf-(T_surf-T_inlet)*exp(-R56*$C$44/(R51*cp_air*1000))</f>
        <v>3.012931711</v>
      </c>
      <c r="S58" s="40">
        <f>T_surf-(T_surf-T_inlet)*exp(-S56*$C$44/(S51*cp_air*1000))</f>
        <v>3.096930524</v>
      </c>
      <c r="T58" s="40">
        <f>T_surf-(T_surf-T_inlet)*exp(-T56*$C$44/(T51*cp_air*1000))</f>
        <v>3.148113739</v>
      </c>
      <c r="U58" s="40">
        <f>T_surf-(T_surf-T_inlet)*exp(-U56*$C$44/(U51*cp_air*1000))</f>
        <v>3.183527642</v>
      </c>
      <c r="V58" s="40">
        <f>T_surf-(T_surf-T_inlet)*exp(-V56*$C$44/(V51*cp_air*1000))</f>
        <v>3.230591054</v>
      </c>
      <c r="W58" s="40">
        <f>T_surf-(T_surf-T_inlet)*exp(-W56*$C$44/(W51*cp_air*1000))</f>
        <v>3.247346761</v>
      </c>
      <c r="Y58" s="80">
        <v>400.0</v>
      </c>
      <c r="Z58" s="40">
        <f>T58</f>
        <v>3.148113739</v>
      </c>
      <c r="AA58" s="31">
        <f>T59</f>
        <v>3.293118147</v>
      </c>
    </row>
    <row r="59">
      <c r="F59" s="5" t="s">
        <v>192</v>
      </c>
      <c r="G59" s="31">
        <f>Avg_passive_cooling_load*-1/(G51*cp_air)+T_inlet</f>
        <v>-79.25274136</v>
      </c>
      <c r="H59" s="31">
        <f>Avg_passive_cooling_load*-1/(H51*cp_air)+T_inlet</f>
        <v>-13.05054827</v>
      </c>
      <c r="I59" s="31">
        <f>Avg_passive_cooling_load*-1/(I51*cp_air)+T_inlet</f>
        <v>-4.775274136</v>
      </c>
      <c r="J59" s="31">
        <f>Avg_passive_cooling_load*-1/(J51*cp_air)+T_inlet</f>
        <v>-0.6376370679</v>
      </c>
      <c r="K59" s="31">
        <f>Avg_passive_cooling_load*-1/(K51*cp_air)+T_inlet</f>
        <v>0.741575288</v>
      </c>
      <c r="L59" s="31">
        <f>Avg_passive_cooling_load*-1/(L51*cp_air)+T_inlet</f>
        <v>1.431181466</v>
      </c>
      <c r="M59" s="31">
        <f>Avg_passive_cooling_load*-1/(M51*cp_air)+T_inlet</f>
        <v>1.844945173</v>
      </c>
      <c r="N59" s="31">
        <f>Avg_passive_cooling_load*-1/(N51*cp_air)+T_inlet</f>
        <v>2.120787644</v>
      </c>
      <c r="O59" s="31">
        <f>Avg_passive_cooling_load*-1/(O51*cp_air)+T_inlet</f>
        <v>2.317817981</v>
      </c>
      <c r="P59" s="31">
        <f>Avg_passive_cooling_load*-1/(P51*cp_air)+T_inlet</f>
        <v>2.465590733</v>
      </c>
      <c r="Q59" s="31">
        <f>Avg_passive_cooling_load*-1/(Q51*cp_air)+T_inlet</f>
        <v>2.580525096</v>
      </c>
      <c r="R59" s="31">
        <f>Avg_passive_cooling_load*-1/(R51*cp_air)+T_inlet</f>
        <v>3.086236293</v>
      </c>
      <c r="S59" s="31">
        <f>Avg_passive_cooling_load*-1/(S51*cp_air)+T_inlet</f>
        <v>3.224157529</v>
      </c>
      <c r="T59" s="31">
        <f>Avg_passive_cooling_load*-1/(T51*cp_air)+T_inlet</f>
        <v>3.293118147</v>
      </c>
      <c r="U59" s="31">
        <f>Avg_passive_cooling_load*-1/(U51*cp_air)+T_inlet</f>
        <v>3.334494517</v>
      </c>
      <c r="V59" s="31">
        <f>Avg_passive_cooling_load*-1/(V51*cp_air)+T_inlet</f>
        <v>3.381781798</v>
      </c>
      <c r="W59" s="31">
        <f>Avg_passive_cooling_load*-1/(W51*cp_air)+T_inlet</f>
        <v>3.396559073</v>
      </c>
      <c r="Y59" s="80">
        <v>500.0</v>
      </c>
      <c r="Z59" s="40">
        <f>U58</f>
        <v>3.183527642</v>
      </c>
      <c r="AA59" s="31">
        <f>U59</f>
        <v>3.334494517</v>
      </c>
    </row>
    <row r="60">
      <c r="F60" s="5" t="s">
        <v>199</v>
      </c>
      <c r="G60" s="70">
        <f t="shared" ref="G60:W60" si="6">G58-G59</f>
        <v>79.67319242</v>
      </c>
      <c r="H60" s="70">
        <f t="shared" si="6"/>
        <v>14.40721712</v>
      </c>
      <c r="I60" s="70">
        <f t="shared" si="6"/>
        <v>6.565991315</v>
      </c>
      <c r="J60" s="70">
        <f t="shared" si="6"/>
        <v>2.816705897</v>
      </c>
      <c r="K60" s="70">
        <f t="shared" si="6"/>
        <v>1.63545885</v>
      </c>
      <c r="L60" s="70">
        <f t="shared" si="6"/>
        <v>1.07231811</v>
      </c>
      <c r="M60" s="70">
        <f t="shared" si="6"/>
        <v>0.748699826</v>
      </c>
      <c r="N60" s="70">
        <f t="shared" si="6"/>
        <v>0.5414758409</v>
      </c>
      <c r="O60" s="70">
        <f t="shared" si="6"/>
        <v>0.3990270656</v>
      </c>
      <c r="P60" s="70">
        <f t="shared" si="6"/>
        <v>0.2960647308</v>
      </c>
      <c r="Q60" s="70">
        <f t="shared" si="6"/>
        <v>0.2188066084</v>
      </c>
      <c r="R60" s="70">
        <f t="shared" si="6"/>
        <v>-0.07330458208</v>
      </c>
      <c r="S60" s="70">
        <f t="shared" si="6"/>
        <v>-0.1272270045</v>
      </c>
      <c r="T60" s="70">
        <f t="shared" si="6"/>
        <v>-0.1450044077</v>
      </c>
      <c r="U60" s="70">
        <f t="shared" si="6"/>
        <v>-0.1509668752</v>
      </c>
      <c r="V60" s="70">
        <f t="shared" si="6"/>
        <v>-0.1511907444</v>
      </c>
      <c r="W60" s="70">
        <f t="shared" si="6"/>
        <v>-0.1492123119</v>
      </c>
      <c r="Y60" s="80">
        <v>700.0</v>
      </c>
      <c r="Z60" s="40">
        <f>V58</f>
        <v>3.230591054</v>
      </c>
      <c r="AA60" s="31">
        <f>V59</f>
        <v>3.381781798</v>
      </c>
    </row>
    <row r="61">
      <c r="H61" s="121" t="s">
        <v>200</v>
      </c>
      <c r="Y61" s="80">
        <v>800.0</v>
      </c>
      <c r="Z61" s="40">
        <f>W58</f>
        <v>3.247346761</v>
      </c>
      <c r="AA61" s="31">
        <f>W59</f>
        <v>3.396559073</v>
      </c>
    </row>
    <row r="62">
      <c r="A62" s="106"/>
      <c r="B62" s="106"/>
      <c r="C62" s="106"/>
      <c r="D62" s="106"/>
      <c r="E62" s="106"/>
      <c r="F62" s="106"/>
      <c r="G62" s="106"/>
      <c r="H62" s="106"/>
      <c r="I62" s="106"/>
      <c r="J62" s="106"/>
      <c r="K62" s="106"/>
      <c r="L62" s="106"/>
      <c r="M62" s="106"/>
      <c r="N62" s="106"/>
      <c r="O62" s="106"/>
      <c r="P62" s="106"/>
      <c r="Q62" s="106"/>
      <c r="R62" s="106"/>
      <c r="S62" s="106"/>
      <c r="T62" s="106"/>
      <c r="U62" s="106"/>
      <c r="V62" s="106"/>
      <c r="W62" s="106"/>
      <c r="X62" s="106"/>
      <c r="Y62" s="106"/>
      <c r="Z62" s="106"/>
      <c r="AA62" s="106"/>
      <c r="AB62" s="106"/>
      <c r="AC62" s="106"/>
    </row>
    <row r="65">
      <c r="B65" s="108" t="s">
        <v>209</v>
      </c>
      <c r="C65" s="109"/>
    </row>
    <row r="66">
      <c r="B66" s="130" t="s">
        <v>185</v>
      </c>
      <c r="C66" s="130">
        <v>1.0</v>
      </c>
      <c r="W66" s="40"/>
    </row>
    <row r="67">
      <c r="B67" s="110" t="s">
        <v>210</v>
      </c>
      <c r="C67" s="110">
        <v>1.0</v>
      </c>
    </row>
    <row r="68">
      <c r="B68" s="130" t="s">
        <v>211</v>
      </c>
      <c r="C68" s="130">
        <v>0.04</v>
      </c>
    </row>
    <row r="69">
      <c r="B69" s="130" t="s">
        <v>213</v>
      </c>
      <c r="C69" s="130">
        <v>0.1</v>
      </c>
    </row>
    <row r="70">
      <c r="B70" s="133" t="s">
        <v>215</v>
      </c>
      <c r="C70" s="134">
        <f>C67*m_per_in</f>
        <v>0.0254</v>
      </c>
    </row>
    <row r="71">
      <c r="B71" s="133" t="s">
        <v>217</v>
      </c>
      <c r="C71" s="134">
        <f>C68*m_per_in</f>
        <v>0.001016</v>
      </c>
    </row>
    <row r="72">
      <c r="B72" s="133" t="s">
        <v>218</v>
      </c>
      <c r="C72" s="134">
        <f>C69*m_per_in</f>
        <v>0.00254</v>
      </c>
    </row>
    <row r="73">
      <c r="B73" s="130" t="s">
        <v>220</v>
      </c>
      <c r="C73" s="138">
        <f>'Backup of Step 3'!Depth_block/(C71+C72)*2*C66</f>
        <v>200</v>
      </c>
    </row>
    <row r="74">
      <c r="B74" s="130" t="s">
        <v>221</v>
      </c>
      <c r="C74" s="138">
        <f>C69/C67</f>
        <v>0.1</v>
      </c>
    </row>
    <row r="75">
      <c r="B75" s="138"/>
      <c r="C75" s="138"/>
    </row>
    <row r="76">
      <c r="B76" s="130" t="s">
        <v>224</v>
      </c>
      <c r="C76" s="138">
        <f>C70*C72</f>
        <v>0.000064516</v>
      </c>
    </row>
    <row r="77">
      <c r="B77" s="130" t="s">
        <v>226</v>
      </c>
      <c r="C77" s="138">
        <f>2*C70+C72</f>
        <v>0.05334</v>
      </c>
    </row>
    <row r="78">
      <c r="B78" s="130" t="s">
        <v>227</v>
      </c>
      <c r="C78" s="143">
        <f>4*C76/C77</f>
        <v>0.004838095238</v>
      </c>
    </row>
    <row r="79">
      <c r="B79" s="130" t="s">
        <v>187</v>
      </c>
      <c r="C79" s="144">
        <f>C77*'Backup of Step 3'!Length_block*C73</f>
        <v>3.7935408</v>
      </c>
    </row>
    <row r="82">
      <c r="F82" s="114" t="s">
        <v>188</v>
      </c>
      <c r="G82" s="80">
        <v>1.0</v>
      </c>
      <c r="H82" s="80">
        <v>5.0</v>
      </c>
      <c r="I82" s="80">
        <v>10.0</v>
      </c>
      <c r="J82" s="80">
        <v>20.0</v>
      </c>
      <c r="K82" s="5">
        <v>21.0</v>
      </c>
      <c r="L82" s="5">
        <v>22.0</v>
      </c>
      <c r="M82" s="5">
        <v>23.0</v>
      </c>
      <c r="N82" s="5">
        <v>24.0</v>
      </c>
      <c r="O82" s="5">
        <v>25.0</v>
      </c>
      <c r="P82" s="5">
        <v>26.0</v>
      </c>
      <c r="Q82" s="5">
        <v>27.0</v>
      </c>
      <c r="R82" s="5">
        <v>28.0</v>
      </c>
      <c r="S82" s="5">
        <v>29.0</v>
      </c>
      <c r="T82" s="80">
        <v>30.0</v>
      </c>
      <c r="U82" s="5">
        <v>31.0</v>
      </c>
      <c r="V82" s="5">
        <v>32.0</v>
      </c>
      <c r="W82" s="5">
        <v>33.0</v>
      </c>
      <c r="X82" s="5">
        <v>34.0</v>
      </c>
      <c r="Y82" s="5">
        <v>35.0</v>
      </c>
      <c r="Z82" s="80">
        <v>40.0</v>
      </c>
    </row>
    <row r="83">
      <c r="F83" s="114" t="s">
        <v>189</v>
      </c>
      <c r="G83" s="131">
        <f>G82*mcube_per_cfm</f>
        <v>0.00047194745</v>
      </c>
      <c r="H83" s="131">
        <f>H82*mcube_per_cfm</f>
        <v>0.00235973725</v>
      </c>
      <c r="I83" s="131">
        <f>I82*mcube_per_cfm</f>
        <v>0.0047194745</v>
      </c>
      <c r="J83" s="131">
        <f>J82*mcube_per_cfm</f>
        <v>0.009438949</v>
      </c>
      <c r="K83" s="131">
        <f>K82*mcube_per_cfm</f>
        <v>0.00991089645</v>
      </c>
      <c r="L83" s="131">
        <f>L82*mcube_per_cfm</f>
        <v>0.0103828439</v>
      </c>
      <c r="M83" s="131">
        <f>M82*mcube_per_cfm</f>
        <v>0.01085479135</v>
      </c>
      <c r="N83" s="131">
        <f>N82*mcube_per_cfm</f>
        <v>0.0113267388</v>
      </c>
      <c r="O83" s="131">
        <f>O82*mcube_per_cfm</f>
        <v>0.01179868625</v>
      </c>
      <c r="P83" s="131">
        <f>P82*mcube_per_cfm</f>
        <v>0.0122706337</v>
      </c>
      <c r="Q83" s="131">
        <f>Q82*mcube_per_cfm</f>
        <v>0.01274258115</v>
      </c>
      <c r="R83" s="131">
        <f>R82*mcube_per_cfm</f>
        <v>0.0132145286</v>
      </c>
      <c r="S83" s="131">
        <f>S82*mcube_per_cfm</f>
        <v>0.01368647605</v>
      </c>
      <c r="T83" s="131">
        <f>T82*mcube_per_cfm</f>
        <v>0.0141584235</v>
      </c>
      <c r="U83" s="131">
        <f>U82*mcube_per_cfm</f>
        <v>0.01463037095</v>
      </c>
      <c r="V83" s="131">
        <f>V82*mcube_per_cfm</f>
        <v>0.0151023184</v>
      </c>
      <c r="W83" s="131">
        <f>W82*mcube_per_cfm</f>
        <v>0.01557426585</v>
      </c>
      <c r="X83" s="131">
        <f>X82*mcube_per_cfm</f>
        <v>0.0160462133</v>
      </c>
      <c r="Y83" s="131">
        <f>Y82*mcube_per_cfm</f>
        <v>0.01651816075</v>
      </c>
      <c r="Z83" s="131">
        <f>Z82*mcube_per_cfm</f>
        <v>0.018877898</v>
      </c>
    </row>
    <row r="84">
      <c r="F84" s="117" t="s">
        <v>212</v>
      </c>
      <c r="G84" s="131">
        <f>G83*dens_air</f>
        <v>0.0006073281271</v>
      </c>
      <c r="H84" s="131">
        <f>H83*dens_air</f>
        <v>0.003036640636</v>
      </c>
      <c r="I84" s="131">
        <f>I83*dens_air</f>
        <v>0.006073281271</v>
      </c>
      <c r="J84" s="131">
        <f>J83*dens_air</f>
        <v>0.01214656254</v>
      </c>
      <c r="K84" s="131">
        <f>K83*dens_air</f>
        <v>0.01275389067</v>
      </c>
      <c r="L84" s="131">
        <f>L83*dens_air</f>
        <v>0.0133612188</v>
      </c>
      <c r="M84" s="131">
        <f>M83*dens_air</f>
        <v>0.01396854692</v>
      </c>
      <c r="N84" s="131">
        <f>N83*dens_air</f>
        <v>0.01457587505</v>
      </c>
      <c r="O84" s="131">
        <f>O83*dens_air</f>
        <v>0.01518320318</v>
      </c>
      <c r="P84" s="131">
        <f>P83*dens_air</f>
        <v>0.01579053131</v>
      </c>
      <c r="Q84" s="131">
        <f>Q83*dens_air</f>
        <v>0.01639785943</v>
      </c>
      <c r="R84" s="131">
        <f>R83*dens_air</f>
        <v>0.01700518756</v>
      </c>
      <c r="S84" s="131">
        <f>S83*dens_air</f>
        <v>0.01761251569</v>
      </c>
      <c r="T84" s="131">
        <f>T83*dens_air</f>
        <v>0.01821984381</v>
      </c>
      <c r="U84" s="131">
        <f>U83*dens_air</f>
        <v>0.01882717194</v>
      </c>
      <c r="V84" s="131">
        <f>V83*dens_air</f>
        <v>0.01943450007</v>
      </c>
      <c r="W84" s="131">
        <f>W83*dens_air</f>
        <v>0.0200418282</v>
      </c>
      <c r="X84" s="131">
        <f>X83*dens_air</f>
        <v>0.02064915632</v>
      </c>
      <c r="Y84" s="131">
        <f>Y83*dens_air</f>
        <v>0.02125648445</v>
      </c>
      <c r="Z84" s="131">
        <f>Z83*dens_air</f>
        <v>0.02429312509</v>
      </c>
    </row>
    <row r="85">
      <c r="F85" s="5" t="s">
        <v>214</v>
      </c>
      <c r="G85" s="241">
        <f t="shared" ref="G85:Z85" si="7">G83/$C$73</f>
        <v>0.00000235973725</v>
      </c>
      <c r="H85" s="241">
        <f t="shared" si="7"/>
        <v>0.00001179868625</v>
      </c>
      <c r="I85" s="241">
        <f t="shared" si="7"/>
        <v>0.0000235973725</v>
      </c>
      <c r="J85" s="241">
        <f t="shared" si="7"/>
        <v>0.000047194745</v>
      </c>
      <c r="K85" s="241">
        <f t="shared" si="7"/>
        <v>0.00004955448225</v>
      </c>
      <c r="L85" s="241">
        <f t="shared" si="7"/>
        <v>0.0000519142195</v>
      </c>
      <c r="M85" s="241">
        <f t="shared" si="7"/>
        <v>0.00005427395675</v>
      </c>
      <c r="N85" s="241">
        <f t="shared" si="7"/>
        <v>0.000056633694</v>
      </c>
      <c r="O85" s="241">
        <f t="shared" si="7"/>
        <v>0.00005899343125</v>
      </c>
      <c r="P85" s="241">
        <f t="shared" si="7"/>
        <v>0.0000613531685</v>
      </c>
      <c r="Q85" s="241">
        <f t="shared" si="7"/>
        <v>0.00006371290575</v>
      </c>
      <c r="R85" s="241">
        <f t="shared" si="7"/>
        <v>0.000066072643</v>
      </c>
      <c r="S85" s="241">
        <f t="shared" si="7"/>
        <v>0.00006843238025</v>
      </c>
      <c r="T85" s="241">
        <f t="shared" si="7"/>
        <v>0.0000707921175</v>
      </c>
      <c r="U85" s="241">
        <f t="shared" si="7"/>
        <v>0.00007315185475</v>
      </c>
      <c r="V85" s="241">
        <f t="shared" si="7"/>
        <v>0.000075511592</v>
      </c>
      <c r="W85" s="241">
        <f t="shared" si="7"/>
        <v>0.00007787132925</v>
      </c>
      <c r="X85" s="241">
        <f t="shared" si="7"/>
        <v>0.0000802310665</v>
      </c>
      <c r="Y85" s="241">
        <f t="shared" si="7"/>
        <v>0.00008259080375</v>
      </c>
      <c r="Z85" s="241">
        <f t="shared" si="7"/>
        <v>0.00009438949</v>
      </c>
      <c r="AE85" s="102" t="s">
        <v>404</v>
      </c>
    </row>
    <row r="86">
      <c r="F86" s="5" t="s">
        <v>216</v>
      </c>
      <c r="G86" s="135">
        <f t="shared" ref="G86:Z86" si="8">G84/$C$73</f>
        <v>0.000003036640636</v>
      </c>
      <c r="H86" s="135">
        <f t="shared" si="8"/>
        <v>0.00001518320318</v>
      </c>
      <c r="I86" s="135">
        <f t="shared" si="8"/>
        <v>0.00003036640636</v>
      </c>
      <c r="J86" s="135">
        <f t="shared" si="8"/>
        <v>0.00006073281271</v>
      </c>
      <c r="K86" s="135">
        <f t="shared" si="8"/>
        <v>0.00006376945335</v>
      </c>
      <c r="L86" s="135">
        <f t="shared" si="8"/>
        <v>0.00006680609398</v>
      </c>
      <c r="M86" s="135">
        <f t="shared" si="8"/>
        <v>0.00006984273462</v>
      </c>
      <c r="N86" s="135">
        <f t="shared" si="8"/>
        <v>0.00007287937526</v>
      </c>
      <c r="O86" s="135">
        <f t="shared" si="8"/>
        <v>0.00007591601589</v>
      </c>
      <c r="P86" s="135">
        <f t="shared" si="8"/>
        <v>0.00007895265653</v>
      </c>
      <c r="Q86" s="135">
        <f t="shared" si="8"/>
        <v>0.00008198929716</v>
      </c>
      <c r="R86" s="135">
        <f t="shared" si="8"/>
        <v>0.0000850259378</v>
      </c>
      <c r="S86" s="135">
        <f t="shared" si="8"/>
        <v>0.00008806257843</v>
      </c>
      <c r="T86" s="135">
        <f t="shared" si="8"/>
        <v>0.00009109921907</v>
      </c>
      <c r="U86" s="135">
        <f t="shared" si="8"/>
        <v>0.0000941358597</v>
      </c>
      <c r="V86" s="135">
        <f t="shared" si="8"/>
        <v>0.00009717250034</v>
      </c>
      <c r="W86" s="135">
        <f t="shared" si="8"/>
        <v>0.000100209141</v>
      </c>
      <c r="X86" s="135">
        <f t="shared" si="8"/>
        <v>0.0001032457816</v>
      </c>
      <c r="Y86" s="135">
        <f t="shared" si="8"/>
        <v>0.0001062824222</v>
      </c>
      <c r="Z86" s="135">
        <f t="shared" si="8"/>
        <v>0.0001214656254</v>
      </c>
      <c r="AE86" s="5" t="s">
        <v>190</v>
      </c>
      <c r="AF86" s="5" t="s">
        <v>191</v>
      </c>
      <c r="AG86" s="5" t="s">
        <v>192</v>
      </c>
    </row>
    <row r="87">
      <c r="F87" s="114" t="s">
        <v>194</v>
      </c>
      <c r="G87" s="136">
        <f t="shared" ref="G87:Z87" si="9">G85/$C$76</f>
        <v>0.03657600053</v>
      </c>
      <c r="H87" s="136">
        <f t="shared" si="9"/>
        <v>0.1828800026</v>
      </c>
      <c r="I87" s="136">
        <f t="shared" si="9"/>
        <v>0.3657600053</v>
      </c>
      <c r="J87" s="136">
        <f t="shared" si="9"/>
        <v>0.7315200105</v>
      </c>
      <c r="K87" s="136">
        <f t="shared" si="9"/>
        <v>0.7680960111</v>
      </c>
      <c r="L87" s="136">
        <f t="shared" si="9"/>
        <v>0.8046720116</v>
      </c>
      <c r="M87" s="136">
        <f t="shared" si="9"/>
        <v>0.8412480121</v>
      </c>
      <c r="N87" s="136">
        <f t="shared" si="9"/>
        <v>0.8778240126</v>
      </c>
      <c r="O87" s="136">
        <f t="shared" si="9"/>
        <v>0.9144000132</v>
      </c>
      <c r="P87" s="136">
        <f t="shared" si="9"/>
        <v>0.9509760137</v>
      </c>
      <c r="Q87" s="136">
        <f t="shared" si="9"/>
        <v>0.9875520142</v>
      </c>
      <c r="R87" s="136">
        <f t="shared" si="9"/>
        <v>1.024128015</v>
      </c>
      <c r="S87" s="136">
        <f t="shared" si="9"/>
        <v>1.060704015</v>
      </c>
      <c r="T87" s="136">
        <f t="shared" si="9"/>
        <v>1.097280016</v>
      </c>
      <c r="U87" s="136">
        <f t="shared" si="9"/>
        <v>1.133856016</v>
      </c>
      <c r="V87" s="136">
        <f t="shared" si="9"/>
        <v>1.170432017</v>
      </c>
      <c r="W87" s="136">
        <f t="shared" si="9"/>
        <v>1.207008017</v>
      </c>
      <c r="X87" s="136">
        <f t="shared" si="9"/>
        <v>1.243584018</v>
      </c>
      <c r="Y87" s="136">
        <f t="shared" si="9"/>
        <v>1.280160018</v>
      </c>
      <c r="Z87" s="136">
        <f t="shared" si="9"/>
        <v>1.463040021</v>
      </c>
      <c r="AE87" s="80">
        <v>5.0</v>
      </c>
      <c r="AF87" s="40">
        <f>H96</f>
        <v>0.0000002413954327</v>
      </c>
      <c r="AG87" s="31">
        <f>H97</f>
        <v>-13.05054827</v>
      </c>
    </row>
    <row r="88">
      <c r="F88" s="117" t="s">
        <v>219</v>
      </c>
      <c r="G88" s="137">
        <f>G87*$C$78/kin_vis_air</f>
        <v>12.12042288</v>
      </c>
      <c r="H88" s="137">
        <f>H87*$C$78/kin_vis_air</f>
        <v>60.60211438</v>
      </c>
      <c r="I88" s="137">
        <f>I87*$C$78/kin_vis_air</f>
        <v>121.2042288</v>
      </c>
      <c r="J88" s="137">
        <f>J87*$C$78/kin_vis_air</f>
        <v>242.4084575</v>
      </c>
      <c r="K88" s="137">
        <f>K87*$C$78/kin_vis_air</f>
        <v>254.5288804</v>
      </c>
      <c r="L88" s="137">
        <f>L87*$C$78/kin_vis_air</f>
        <v>266.6493033</v>
      </c>
      <c r="M88" s="137">
        <f>M87*$C$78/kin_vis_air</f>
        <v>278.7697261</v>
      </c>
      <c r="N88" s="137">
        <f>N87*$C$78/kin_vis_air</f>
        <v>290.890149</v>
      </c>
      <c r="O88" s="137">
        <f>O87*$C$78/kin_vis_air</f>
        <v>303.0105719</v>
      </c>
      <c r="P88" s="137">
        <f>P87*$C$78/kin_vis_air</f>
        <v>315.1309948</v>
      </c>
      <c r="Q88" s="137">
        <f>Q87*$C$78/kin_vis_air</f>
        <v>327.2514176</v>
      </c>
      <c r="R88" s="137">
        <f>R87*$C$78/kin_vis_air</f>
        <v>339.3718405</v>
      </c>
      <c r="S88" s="137">
        <f>S87*$C$78/kin_vis_air</f>
        <v>351.4922634</v>
      </c>
      <c r="T88" s="137">
        <f>T87*$C$78/kin_vis_air</f>
        <v>363.6126863</v>
      </c>
      <c r="U88" s="137">
        <f>U87*$C$78/kin_vis_air</f>
        <v>375.7331091</v>
      </c>
      <c r="V88" s="137">
        <f>V87*$C$78/kin_vis_air</f>
        <v>387.853532</v>
      </c>
      <c r="W88" s="137">
        <f>W87*$C$78/kin_vis_air</f>
        <v>399.9739549</v>
      </c>
      <c r="X88" s="137">
        <f>X87*$C$78/kin_vis_air</f>
        <v>412.0943778</v>
      </c>
      <c r="Y88" s="137">
        <f>Y87*$C$78/kin_vis_air</f>
        <v>424.2148006</v>
      </c>
      <c r="Z88" s="137">
        <f>Z87*$C$78/kin_vis_air</f>
        <v>484.816915</v>
      </c>
      <c r="AE88" s="80">
        <v>10.0</v>
      </c>
      <c r="AF88" s="40">
        <f>I96</f>
        <v>0.0009191757256</v>
      </c>
      <c r="AG88" s="31">
        <f>I97</f>
        <v>-4.775274136</v>
      </c>
    </row>
    <row r="89">
      <c r="F89" s="119" t="s">
        <v>196</v>
      </c>
      <c r="G89" s="139" t="str">
        <f t="shared" ref="G89:Z89" si="10">if(G88&lt;2300,"L","T")</f>
        <v>L</v>
      </c>
      <c r="H89" s="139" t="str">
        <f t="shared" si="10"/>
        <v>L</v>
      </c>
      <c r="I89" s="139" t="str">
        <f t="shared" si="10"/>
        <v>L</v>
      </c>
      <c r="J89" s="139" t="str">
        <f t="shared" si="10"/>
        <v>L</v>
      </c>
      <c r="K89" s="139" t="str">
        <f t="shared" si="10"/>
        <v>L</v>
      </c>
      <c r="L89" s="139" t="str">
        <f t="shared" si="10"/>
        <v>L</v>
      </c>
      <c r="M89" s="139" t="str">
        <f t="shared" si="10"/>
        <v>L</v>
      </c>
      <c r="N89" s="139" t="str">
        <f t="shared" si="10"/>
        <v>L</v>
      </c>
      <c r="O89" s="139" t="str">
        <f t="shared" si="10"/>
        <v>L</v>
      </c>
      <c r="P89" s="139" t="str">
        <f t="shared" si="10"/>
        <v>L</v>
      </c>
      <c r="Q89" s="139" t="str">
        <f t="shared" si="10"/>
        <v>L</v>
      </c>
      <c r="R89" s="139" t="str">
        <f t="shared" si="10"/>
        <v>L</v>
      </c>
      <c r="S89" s="139" t="str">
        <f t="shared" si="10"/>
        <v>L</v>
      </c>
      <c r="T89" s="139" t="str">
        <f t="shared" si="10"/>
        <v>L</v>
      </c>
      <c r="U89" s="139" t="str">
        <f t="shared" si="10"/>
        <v>L</v>
      </c>
      <c r="V89" s="139" t="str">
        <f t="shared" si="10"/>
        <v>L</v>
      </c>
      <c r="W89" s="139" t="str">
        <f t="shared" si="10"/>
        <v>L</v>
      </c>
      <c r="X89" s="139" t="str">
        <f t="shared" si="10"/>
        <v>L</v>
      </c>
      <c r="Y89" s="139" t="str">
        <f t="shared" si="10"/>
        <v>L</v>
      </c>
      <c r="Z89" s="139" t="str">
        <f t="shared" si="10"/>
        <v>L</v>
      </c>
      <c r="AE89" s="80">
        <v>20.0</v>
      </c>
      <c r="AF89" s="40">
        <f>J96</f>
        <v>0.05671961777</v>
      </c>
      <c r="AG89" s="31">
        <f>J97</f>
        <v>-0.6376370679</v>
      </c>
    </row>
    <row r="90">
      <c r="F90" s="5" t="s">
        <v>222</v>
      </c>
      <c r="G90" s="242">
        <f t="shared" ref="G90:Z90" si="11">if(G89="Turbulent",10*$C$78,0.05*$C$78*G88)</f>
        <v>0.00293198801</v>
      </c>
      <c r="H90" s="242">
        <f t="shared" si="11"/>
        <v>0.01465994005</v>
      </c>
      <c r="I90" s="242">
        <f t="shared" si="11"/>
        <v>0.0293198801</v>
      </c>
      <c r="J90" s="242">
        <f t="shared" si="11"/>
        <v>0.0586397602</v>
      </c>
      <c r="K90" s="242">
        <f t="shared" si="11"/>
        <v>0.06157174821</v>
      </c>
      <c r="L90" s="242">
        <f t="shared" si="11"/>
        <v>0.06450373622</v>
      </c>
      <c r="M90" s="242">
        <f t="shared" si="11"/>
        <v>0.06743572423</v>
      </c>
      <c r="N90" s="242">
        <f t="shared" si="11"/>
        <v>0.07036771224</v>
      </c>
      <c r="O90" s="242">
        <f t="shared" si="11"/>
        <v>0.07329970025</v>
      </c>
      <c r="P90" s="242">
        <f t="shared" si="11"/>
        <v>0.07623168826</v>
      </c>
      <c r="Q90" s="242">
        <f t="shared" si="11"/>
        <v>0.07916367627</v>
      </c>
      <c r="R90" s="242">
        <f t="shared" si="11"/>
        <v>0.08209566427</v>
      </c>
      <c r="S90" s="242">
        <f t="shared" si="11"/>
        <v>0.08502765228</v>
      </c>
      <c r="T90" s="242">
        <f t="shared" si="11"/>
        <v>0.08795964029</v>
      </c>
      <c r="U90" s="242">
        <f t="shared" si="11"/>
        <v>0.0908916283</v>
      </c>
      <c r="V90" s="242">
        <f t="shared" si="11"/>
        <v>0.09382361631</v>
      </c>
      <c r="W90" s="242">
        <f t="shared" si="11"/>
        <v>0.09675560432</v>
      </c>
      <c r="X90" s="242">
        <f t="shared" si="11"/>
        <v>0.09968759233</v>
      </c>
      <c r="Y90" s="242">
        <f t="shared" si="11"/>
        <v>0.1026195803</v>
      </c>
      <c r="Z90" s="242">
        <f t="shared" si="11"/>
        <v>0.1172795204</v>
      </c>
      <c r="AE90" s="80">
        <v>30.0</v>
      </c>
      <c r="AF90" s="40">
        <f>T96</f>
        <v>0.2241359628</v>
      </c>
      <c r="AG90" s="31">
        <f>T97</f>
        <v>0.741575288</v>
      </c>
    </row>
    <row r="91">
      <c r="F91" s="5" t="s">
        <v>223</v>
      </c>
      <c r="G91" s="171" t="str">
        <f>if(G90&lt;'Backup of Step 3'!Length_block,"Y","N")</f>
        <v>Y</v>
      </c>
      <c r="H91" s="171" t="str">
        <f>if(H90&lt;'Backup of Step 3'!Length_block,"Y","N")</f>
        <v>Y</v>
      </c>
      <c r="I91" s="171" t="str">
        <f>if(I90&lt;'Backup of Step 3'!Length_block,"Y","N")</f>
        <v>Y</v>
      </c>
      <c r="J91" s="171" t="str">
        <f>if(J90&lt;'Backup of Step 3'!Length_block,"Y","N")</f>
        <v>Y</v>
      </c>
      <c r="K91" s="171" t="str">
        <f>if(K90&lt;'Backup of Step 3'!Length_block,"Y","N")</f>
        <v>Y</v>
      </c>
      <c r="L91" s="171" t="str">
        <f>if(L90&lt;'Backup of Step 3'!Length_block,"Y","N")</f>
        <v>Y</v>
      </c>
      <c r="M91" s="171" t="str">
        <f>if(M90&lt;'Backup of Step 3'!Length_block,"Y","N")</f>
        <v>Y</v>
      </c>
      <c r="N91" s="171" t="str">
        <f>if(N90&lt;'Backup of Step 3'!Length_block,"Y","N")</f>
        <v>Y</v>
      </c>
      <c r="O91" s="171" t="str">
        <f>if(O90&lt;'Backup of Step 3'!Length_block,"Y","N")</f>
        <v>Y</v>
      </c>
      <c r="P91" s="171" t="str">
        <f>if(P90&lt;'Backup of Step 3'!Length_block,"Y","N")</f>
        <v>Y</v>
      </c>
      <c r="Q91" s="171" t="str">
        <f>if(Q90&lt;'Backup of Step 3'!Length_block,"Y","N")</f>
        <v>Y</v>
      </c>
      <c r="R91" s="171" t="str">
        <f>if(R90&lt;'Backup of Step 3'!Length_block,"Y","N")</f>
        <v>Y</v>
      </c>
      <c r="S91" s="171" t="str">
        <f>if(S90&lt;'Backup of Step 3'!Length_block,"Y","N")</f>
        <v>Y</v>
      </c>
      <c r="T91" s="171" t="str">
        <f>if(T90&lt;'Backup of Step 3'!Length_block,"Y","N")</f>
        <v>Y</v>
      </c>
      <c r="U91" s="171" t="str">
        <f>if(U90&lt;'Backup of Step 3'!Length_block,"Y","N")</f>
        <v>Y</v>
      </c>
      <c r="V91" s="171" t="str">
        <f>if(V90&lt;'Backup of Step 3'!Length_block,"Y","N")</f>
        <v>Y</v>
      </c>
      <c r="W91" s="171" t="str">
        <f>if(W90&lt;'Backup of Step 3'!Length_block,"Y","N")</f>
        <v>Y</v>
      </c>
      <c r="X91" s="171" t="str">
        <f>if(X90&lt;'Backup of Step 3'!Length_block,"Y","N")</f>
        <v>Y</v>
      </c>
      <c r="Y91" s="171" t="str">
        <f>if(Y90&lt;'Backup of Step 3'!Length_block,"Y","N")</f>
        <v>Y</v>
      </c>
      <c r="Z91" s="171" t="str">
        <f>if(Z90&lt;'Backup of Step 3'!Length_block,"Y","N")</f>
        <v>Y</v>
      </c>
      <c r="AE91" s="5">
        <v>31.0</v>
      </c>
      <c r="AF91" s="40">
        <f>U96</f>
        <v>0.2449138626</v>
      </c>
      <c r="AG91" s="31">
        <f>U97</f>
        <v>0.8305567304</v>
      </c>
    </row>
    <row r="92">
      <c r="F92" s="5" t="s">
        <v>225</v>
      </c>
      <c r="G92" s="171">
        <f>if(G89="T",0.023*G88^0.8*Pr^0.4, if(G89="L",if(G91="Y",$L$104,3.66+(0.065*$C$78/'Backup of Step 3'!Length_block*G88*Pr)/(1+0.04*($C$78/'Backup of Step 3'!Length_block*G88*Pr)^(2/3)))))</f>
        <v>2.61</v>
      </c>
      <c r="H92" s="171">
        <f>if(H89="T",0.023*H88^0.8*Pr^0.4, if(H89="L",if(H91="Y",$L$104,3.66+(0.065*$C$78/'Backup of Step 3'!Length_block*H88*Pr)/(1+0.04*($C$78/'Backup of Step 3'!Length_block*H88*Pr)^(2/3)))))</f>
        <v>2.61</v>
      </c>
      <c r="I92" s="171">
        <f>if(I89="T",0.023*I88^0.8*Pr^0.4, if(I89="L",if(I91="Y",$L$104,3.66+(0.065*$C$78/'Backup of Step 3'!Length_block*I88*Pr)/(1+0.04*($C$78/'Backup of Step 3'!Length_block*I88*Pr)^(2/3)))))</f>
        <v>2.61</v>
      </c>
      <c r="J92" s="171">
        <f>if(J89="T",0.023*J88^0.8*Pr^0.4, if(J89="L",if(J91="Y",$L$104,3.66+(0.065*$C$78/'Backup of Step 3'!Length_block*J88*Pr)/(1+0.04*($C$78/'Backup of Step 3'!Length_block*J88*Pr)^(2/3)))))</f>
        <v>2.61</v>
      </c>
      <c r="K92" s="171">
        <f>if(K89="T",0.023*K88^0.8*Pr^0.4, if(K89="L",if(K91="Y",$L$104,3.66+(0.065*$C$78/'Backup of Step 3'!Length_block*K88*Pr)/(1+0.04*($C$78/'Backup of Step 3'!Length_block*K88*Pr)^(2/3)))))</f>
        <v>2.61</v>
      </c>
      <c r="L92" s="171">
        <f>if(L89="T",0.023*L88^0.8*Pr^0.4, if(L89="L",if(L91="Y",$L$104,3.66+(0.065*$C$78/'Backup of Step 3'!Length_block*L88*Pr)/(1+0.04*($C$78/'Backup of Step 3'!Length_block*L88*Pr)^(2/3)))))</f>
        <v>2.61</v>
      </c>
      <c r="M92" s="171">
        <f>if(M89="T",0.023*M88^0.8*Pr^0.4, if(M89="L",if(M91="Y",$L$104,3.66+(0.065*$C$78/'Backup of Step 3'!Length_block*M88*Pr)/(1+0.04*($C$78/'Backup of Step 3'!Length_block*M88*Pr)^(2/3)))))</f>
        <v>2.61</v>
      </c>
      <c r="N92" s="171">
        <f>if(N89="T",0.023*N88^0.8*Pr^0.4, if(N89="L",if(N91="Y",$L$104,3.66+(0.065*$C$78/'Backup of Step 3'!Length_block*N88*Pr)/(1+0.04*($C$78/'Backup of Step 3'!Length_block*N88*Pr)^(2/3)))))</f>
        <v>2.61</v>
      </c>
      <c r="O92" s="171">
        <f>if(O89="T",0.023*O88^0.8*Pr^0.4, if(O89="L",if(O91="Y",$L$104,3.66+(0.065*$C$78/'Backup of Step 3'!Length_block*O88*Pr)/(1+0.04*($C$78/'Backup of Step 3'!Length_block*O88*Pr)^(2/3)))))</f>
        <v>2.61</v>
      </c>
      <c r="P92" s="171">
        <f>if(P89="T",0.023*P88^0.8*Pr^0.4, if(P89="L",if(P91="Y",$L$104,3.66+(0.065*$C$78/'Backup of Step 3'!Length_block*P88*Pr)/(1+0.04*($C$78/'Backup of Step 3'!Length_block*P88*Pr)^(2/3)))))</f>
        <v>2.61</v>
      </c>
      <c r="Q92" s="171">
        <f>if(Q89="T",0.023*Q88^0.8*Pr^0.4, if(Q89="L",if(Q91="Y",$L$104,3.66+(0.065*$C$78/'Backup of Step 3'!Length_block*Q88*Pr)/(1+0.04*($C$78/'Backup of Step 3'!Length_block*Q88*Pr)^(2/3)))))</f>
        <v>2.61</v>
      </c>
      <c r="R92" s="171">
        <f>if(R89="T",0.023*R88^0.8*Pr^0.4, if(R89="L",if(R91="Y",$L$104,3.66+(0.065*$C$78/'Backup of Step 3'!Length_block*R88*Pr)/(1+0.04*($C$78/'Backup of Step 3'!Length_block*R88*Pr)^(2/3)))))</f>
        <v>2.61</v>
      </c>
      <c r="S92" s="171">
        <f>if(S89="T",0.023*S88^0.8*Pr^0.4, if(S89="L",if(S91="Y",$L$104,3.66+(0.065*$C$78/'Backup of Step 3'!Length_block*S88*Pr)/(1+0.04*($C$78/'Backup of Step 3'!Length_block*S88*Pr)^(2/3)))))</f>
        <v>2.61</v>
      </c>
      <c r="T92" s="171">
        <f>if(T89="T",0.023*T88^0.8*Pr^0.4, if(T89="L",if(T91="Y",$L$104,3.66+(0.065*$C$78/'Backup of Step 3'!Length_block*T88*Pr)/(1+0.04*($C$78/'Backup of Step 3'!Length_block*T88*Pr)^(2/3)))))</f>
        <v>2.61</v>
      </c>
      <c r="U92" s="171">
        <f>if(U89="T",0.023*U88^0.8*Pr^0.4, if(U89="L",if(U91="Y",$L$104,3.66+(0.065*$C$78/'Backup of Step 3'!Length_block*U88*Pr)/(1+0.04*($C$78/'Backup of Step 3'!Length_block*U88*Pr)^(2/3)))))</f>
        <v>2.61</v>
      </c>
      <c r="V92" s="171">
        <f>if(V89="T",0.023*V88^0.8*Pr^0.4, if(V89="L",if(V91="Y",$L$104,3.66+(0.065*$C$78/'Backup of Step 3'!Length_block*V88*Pr)/(1+0.04*($C$78/'Backup of Step 3'!Length_block*V88*Pr)^(2/3)))))</f>
        <v>2.61</v>
      </c>
      <c r="W92" s="171">
        <f>if(W89="T",0.023*W88^0.8*Pr^0.4, if(W89="L",if(W91="Y",$L$104,3.66+(0.065*$C$78/'Backup of Step 3'!Length_block*W88*Pr)/(1+0.04*($C$78/'Backup of Step 3'!Length_block*W88*Pr)^(2/3)))))</f>
        <v>2.61</v>
      </c>
      <c r="X92" s="171">
        <f>if(X89="T",0.023*X88^0.8*Pr^0.4, if(X89="L",if(X91="Y",$L$104,3.66+(0.065*$C$78/'Backup of Step 3'!Length_block*X88*Pr)/(1+0.04*($C$78/'Backup of Step 3'!Length_block*X88*Pr)^(2/3)))))</f>
        <v>2.61</v>
      </c>
      <c r="Y92" s="171">
        <f>if(Y89="T",0.023*Y88^0.8*Pr^0.4, if(Y89="L",if(Y91="Y",$L$104,3.66+(0.065*$C$78/'Backup of Step 3'!Length_block*Y88*Pr)/(1+0.04*($C$78/'Backup of Step 3'!Length_block*Y88*Pr)^(2/3)))))</f>
        <v>2.61</v>
      </c>
      <c r="Z92" s="171">
        <f>if(Z89="T",0.023*Z88^0.8*Pr^0.4, if(Z89="L",if(Z91="Y",$L$104,3.66+(0.065*$C$78/'Backup of Step 3'!Length_block*Z88*Pr)/(1+0.04*($C$78/'Backup of Step 3'!Length_block*Z88*Pr)^(2/3)))))</f>
        <v>2.61</v>
      </c>
      <c r="AE92" s="5">
        <v>32.0</v>
      </c>
      <c r="AF92" s="40">
        <f>V96</f>
        <v>0.2661391873</v>
      </c>
      <c r="AG92" s="31">
        <f>V97</f>
        <v>0.9139768325</v>
      </c>
    </row>
    <row r="93">
      <c r="F93" s="80" t="s">
        <v>198</v>
      </c>
      <c r="G93" s="142">
        <f>G92*k_air/$C$78</f>
        <v>13.26553051</v>
      </c>
      <c r="H93" s="142">
        <f>H92*k_air/$C$78</f>
        <v>13.26553051</v>
      </c>
      <c r="I93" s="142">
        <f>I92*k_air/$C$78</f>
        <v>13.26553051</v>
      </c>
      <c r="J93" s="142">
        <f>J92*k_air/$C$78</f>
        <v>13.26553051</v>
      </c>
      <c r="K93" s="142">
        <f>K92*k_air/$C$78</f>
        <v>13.26553051</v>
      </c>
      <c r="L93" s="142">
        <f>L92*k_air/$C$78</f>
        <v>13.26553051</v>
      </c>
      <c r="M93" s="142">
        <f>M92*k_air/$C$78</f>
        <v>13.26553051</v>
      </c>
      <c r="N93" s="142">
        <f>N92*k_air/$C$78</f>
        <v>13.26553051</v>
      </c>
      <c r="O93" s="142">
        <f>O92*k_air/$C$78</f>
        <v>13.26553051</v>
      </c>
      <c r="P93" s="142">
        <f>P92*k_air/$C$78</f>
        <v>13.26553051</v>
      </c>
      <c r="Q93" s="142">
        <f>Q92*k_air/$C$78</f>
        <v>13.26553051</v>
      </c>
      <c r="R93" s="142">
        <f>R92*k_air/$C$78</f>
        <v>13.26553051</v>
      </c>
      <c r="S93" s="142">
        <f>S92*k_air/$C$78</f>
        <v>13.26553051</v>
      </c>
      <c r="T93" s="142">
        <f>T92*k_air/$C$78</f>
        <v>13.26553051</v>
      </c>
      <c r="U93" s="142">
        <f>U92*k_air/$C$78</f>
        <v>13.26553051</v>
      </c>
      <c r="V93" s="142">
        <f>V92*k_air/$C$78</f>
        <v>13.26553051</v>
      </c>
      <c r="W93" s="142">
        <f>W92*k_air/$C$78</f>
        <v>13.26553051</v>
      </c>
      <c r="X93" s="142">
        <f>X92*k_air/$C$78</f>
        <v>13.26553051</v>
      </c>
      <c r="Y93" s="142">
        <f>Y92*k_air/$C$78</f>
        <v>13.26553051</v>
      </c>
      <c r="Z93" s="142">
        <f>Z92*k_air/$C$78</f>
        <v>13.26553051</v>
      </c>
      <c r="AE93" s="5">
        <v>33.0</v>
      </c>
      <c r="AF93" s="40">
        <f>W96</f>
        <v>0.2877508939</v>
      </c>
      <c r="AG93" s="31">
        <f>W97</f>
        <v>0.9923411709</v>
      </c>
    </row>
    <row r="94">
      <c r="G94" s="171"/>
      <c r="H94" s="171"/>
      <c r="I94" s="171"/>
      <c r="J94" s="171"/>
      <c r="K94" s="171"/>
      <c r="L94" s="171"/>
      <c r="M94" s="171"/>
      <c r="N94" s="171"/>
      <c r="O94" s="171"/>
      <c r="P94" s="171"/>
      <c r="Q94" s="171"/>
      <c r="R94" s="171"/>
      <c r="S94" s="171"/>
      <c r="T94" s="171"/>
      <c r="U94" s="171"/>
      <c r="V94" s="171"/>
      <c r="W94" s="171"/>
      <c r="X94" s="171"/>
      <c r="Y94" s="171"/>
      <c r="Z94" s="171"/>
      <c r="AE94" s="5">
        <v>34.0</v>
      </c>
      <c r="AF94" s="40">
        <f>X96</f>
        <v>0.3096919786</v>
      </c>
      <c r="AG94" s="31">
        <f>X97</f>
        <v>1.066095842</v>
      </c>
    </row>
    <row r="95">
      <c r="F95" s="80"/>
      <c r="G95" s="243"/>
      <c r="H95" s="243"/>
      <c r="I95" s="243"/>
      <c r="J95" s="243"/>
      <c r="K95" s="243"/>
      <c r="L95" s="243"/>
      <c r="M95" s="243"/>
      <c r="N95" s="243"/>
      <c r="O95" s="243"/>
      <c r="P95" s="243"/>
      <c r="Q95" s="243"/>
      <c r="R95" s="243"/>
      <c r="S95" s="243"/>
      <c r="T95" s="243"/>
      <c r="U95" s="243"/>
      <c r="V95" s="243"/>
      <c r="W95" s="243"/>
      <c r="X95" s="243"/>
      <c r="Y95" s="243"/>
      <c r="Z95" s="243"/>
      <c r="AE95" s="5">
        <v>35.0</v>
      </c>
      <c r="AF95" s="40">
        <f>Y96</f>
        <v>0.3319094491</v>
      </c>
      <c r="AG95" s="31">
        <f>Y97</f>
        <v>1.135635961</v>
      </c>
    </row>
    <row r="96">
      <c r="F96" s="5" t="s">
        <v>191</v>
      </c>
      <c r="G96" s="40">
        <f>T_surf-(T_surf-T_inlet)*exp(-G93*$C$79/(G84*cp_air*1000))</f>
        <v>0</v>
      </c>
      <c r="H96" s="40">
        <f>T_surf-(T_surf-T_inlet)*exp(-H93*$C$79/(H84*cp_air*1000))</f>
        <v>0.0000002413954327</v>
      </c>
      <c r="I96" s="40">
        <f>T_surf-(T_surf-T_inlet)*exp(-I93*$C$79/(I84*cp_air*1000))</f>
        <v>0.0009191757256</v>
      </c>
      <c r="J96" s="40">
        <f>T_surf-(T_surf-T_inlet)*exp(-J93*$C$79/(J84*cp_air*1000))</f>
        <v>0.05671961777</v>
      </c>
      <c r="K96" s="40">
        <f>T_surf-(T_surf-T_inlet)*exp(-K93*$C$79/(K84*cp_air*1000))</f>
        <v>0.0690219669</v>
      </c>
      <c r="L96" s="40">
        <f>T_surf-(T_surf-T_inlet)*exp(-L93*$C$79/(L84*cp_air*1000))</f>
        <v>0.0825070387</v>
      </c>
      <c r="M96" s="40">
        <f>T_surf-(T_surf-T_inlet)*exp(-M93*$C$79/(M84*cp_air*1000))</f>
        <v>0.09710804686</v>
      </c>
      <c r="N96" s="40">
        <f>T_surf-(T_surf-T_inlet)*exp(-N93*$C$79/(N84*cp_air*1000))</f>
        <v>0.1127515239</v>
      </c>
      <c r="O96" s="40">
        <f>T_surf-(T_surf-T_inlet)*exp(-O93*$C$79/(O84*cp_air*1000))</f>
        <v>0.129360071</v>
      </c>
      <c r="P96" s="40">
        <f>T_surf-(T_surf-T_inlet)*exp(-P93*$C$79/(P84*cp_air*1000))</f>
        <v>0.1468545708</v>
      </c>
      <c r="Q96" s="40">
        <f>T_surf-(T_surf-T_inlet)*exp(-Q93*$C$79/(Q84*cp_air*1000))</f>
        <v>0.1651559241</v>
      </c>
      <c r="R96" s="40">
        <f>T_surf-(T_surf-T_inlet)*exp(-R93*$C$79/(R84*cp_air*1000))</f>
        <v>0.1841863788</v>
      </c>
      <c r="S96" s="40">
        <f>T_surf-(T_surf-T_inlet)*exp(-S93*$C$79/(S84*cp_air*1000))</f>
        <v>0.2038705171</v>
      </c>
      <c r="T96" s="40">
        <f>T_surf-(T_surf-T_inlet)*exp(-T93*$C$79/(T84*cp_air*1000))</f>
        <v>0.2241359628</v>
      </c>
      <c r="U96" s="40">
        <f>T_surf-(T_surf-T_inlet)*exp(-U93*$C$79/(U84*cp_air*1000))</f>
        <v>0.2449138626</v>
      </c>
      <c r="V96" s="40">
        <f>T_surf-(T_surf-T_inlet)*exp(-V93*$C$79/(V84*cp_air*1000))</f>
        <v>0.2661391873</v>
      </c>
      <c r="W96" s="40">
        <f>T_surf-(T_surf-T_inlet)*exp(-W93*$C$79/(W84*cp_air*1000))</f>
        <v>0.2877508939</v>
      </c>
      <c r="X96" s="40">
        <f>T_surf-(T_surf-T_inlet)*exp(-X93*$C$79/(X84*cp_air*1000))</f>
        <v>0.3096919786</v>
      </c>
      <c r="Y96" s="40">
        <f>T_surf-(T_surf-T_inlet)*exp(-Y93*$C$79/(Y84*cp_air*1000))</f>
        <v>0.3319094491</v>
      </c>
      <c r="Z96" s="40">
        <f>T_surf-(T_surf-T_inlet)*exp(-Z93*$C$79/(Z84*cp_air*1000))</f>
        <v>0.4455543313</v>
      </c>
      <c r="AE96" s="80">
        <v>40.0</v>
      </c>
      <c r="AF96" s="40">
        <f>Z96</f>
        <v>0.4455543313</v>
      </c>
      <c r="AG96" s="31">
        <f>Z97</f>
        <v>1.431181466</v>
      </c>
    </row>
    <row r="97">
      <c r="F97" s="5" t="s">
        <v>192</v>
      </c>
      <c r="G97" s="31">
        <f>Avg_passive_cooling_load*-1/(G84*cp_air)+T_inlet</f>
        <v>-79.25274136</v>
      </c>
      <c r="H97" s="31">
        <f>Avg_passive_cooling_load*-1/(H84*cp_air)+T_inlet</f>
        <v>-13.05054827</v>
      </c>
      <c r="I97" s="31">
        <f>Avg_passive_cooling_load*-1/(I84*cp_air)+T_inlet</f>
        <v>-4.775274136</v>
      </c>
      <c r="J97" s="31">
        <f>Avg_passive_cooling_load*-1/(J84*cp_air)+T_inlet</f>
        <v>-0.6376370679</v>
      </c>
      <c r="K97" s="31">
        <f>Avg_passive_cooling_load*-1/(K84*cp_air)+T_inlet</f>
        <v>-0.4406067314</v>
      </c>
      <c r="L97" s="31">
        <f>Avg_passive_cooling_load*-1/(L84*cp_air)+T_inlet</f>
        <v>-0.2614882436</v>
      </c>
      <c r="M97" s="31">
        <f>Avg_passive_cooling_load*-1/(M84*cp_air)+T_inlet</f>
        <v>-0.09794527647</v>
      </c>
      <c r="N97" s="31">
        <f>Avg_passive_cooling_load*-1/(N84*cp_air)+T_inlet</f>
        <v>0.05196911005</v>
      </c>
      <c r="O97" s="31">
        <f>Avg_passive_cooling_load*-1/(O84*cp_air)+T_inlet</f>
        <v>0.1898903457</v>
      </c>
      <c r="P97" s="31">
        <f>Avg_passive_cooling_load*-1/(P84*cp_air)+T_inlet</f>
        <v>0.3172022554</v>
      </c>
      <c r="Q97" s="31">
        <f>Avg_passive_cooling_load*-1/(Q84*cp_air)+T_inlet</f>
        <v>0.4350836534</v>
      </c>
      <c r="R97" s="31">
        <f>Avg_passive_cooling_load*-1/(R84*cp_air)+T_inlet</f>
        <v>0.5445449515</v>
      </c>
      <c r="S97" s="31">
        <f>Avg_passive_cooling_load*-1/(S84*cp_air)+T_inlet</f>
        <v>0.6464571945</v>
      </c>
      <c r="T97" s="31">
        <f>Avg_passive_cooling_load*-1/(T84*cp_air)+T_inlet</f>
        <v>0.741575288</v>
      </c>
      <c r="U97" s="31">
        <f>Avg_passive_cooling_load*-1/(U84*cp_air)+T_inlet</f>
        <v>0.8305567304</v>
      </c>
      <c r="V97" s="31">
        <f>Avg_passive_cooling_load*-1/(V84*cp_air)+T_inlet</f>
        <v>0.9139768325</v>
      </c>
      <c r="W97" s="31">
        <f>Avg_passive_cooling_load*-1/(W84*cp_air)+T_inlet</f>
        <v>0.9923411709</v>
      </c>
      <c r="X97" s="31">
        <f>Avg_passive_cooling_load*-1/(X84*cp_air)+T_inlet</f>
        <v>1.066095842</v>
      </c>
      <c r="Y97" s="31">
        <f>Avg_passive_cooling_load*-1/(Y84*cp_air)+T_inlet</f>
        <v>1.135635961</v>
      </c>
      <c r="Z97" s="31">
        <f>Avg_passive_cooling_load*-1/(Z84*cp_air)+T_inlet</f>
        <v>1.431181466</v>
      </c>
    </row>
    <row r="98">
      <c r="F98" s="5" t="s">
        <v>199</v>
      </c>
      <c r="G98" s="70">
        <f t="shared" ref="G98:Z98" si="12">G96-G97</f>
        <v>79.25274136</v>
      </c>
      <c r="H98" s="70">
        <f t="shared" si="12"/>
        <v>13.05054851</v>
      </c>
      <c r="I98" s="70">
        <f t="shared" si="12"/>
        <v>4.776193312</v>
      </c>
      <c r="J98" s="70">
        <f t="shared" si="12"/>
        <v>0.6943566857</v>
      </c>
      <c r="K98" s="70">
        <f t="shared" si="12"/>
        <v>0.5096286983</v>
      </c>
      <c r="L98" s="70">
        <f t="shared" si="12"/>
        <v>0.3439952823</v>
      </c>
      <c r="M98" s="70">
        <f t="shared" si="12"/>
        <v>0.1950533233</v>
      </c>
      <c r="N98" s="70">
        <f t="shared" si="12"/>
        <v>0.06078241384</v>
      </c>
      <c r="O98" s="70">
        <f t="shared" si="12"/>
        <v>-0.06053027466</v>
      </c>
      <c r="P98" s="70">
        <f t="shared" si="12"/>
        <v>-0.1703476847</v>
      </c>
      <c r="Q98" s="70">
        <f t="shared" si="12"/>
        <v>-0.2699277293</v>
      </c>
      <c r="R98" s="70">
        <f t="shared" si="12"/>
        <v>-0.3603585727</v>
      </c>
      <c r="S98" s="70">
        <f t="shared" si="12"/>
        <v>-0.4425866774</v>
      </c>
      <c r="T98" s="70">
        <f t="shared" si="12"/>
        <v>-0.5174393252</v>
      </c>
      <c r="U98" s="70">
        <f t="shared" si="12"/>
        <v>-0.5856428678</v>
      </c>
      <c r="V98" s="70">
        <f t="shared" si="12"/>
        <v>-0.6478376453</v>
      </c>
      <c r="W98" s="70">
        <f t="shared" si="12"/>
        <v>-0.7045902771</v>
      </c>
      <c r="X98" s="70">
        <f t="shared" si="12"/>
        <v>-0.7564038638</v>
      </c>
      <c r="Y98" s="70">
        <f t="shared" si="12"/>
        <v>-0.8037265121</v>
      </c>
      <c r="Z98" s="70">
        <f t="shared" si="12"/>
        <v>-0.9856271347</v>
      </c>
    </row>
    <row r="99">
      <c r="F99" s="243"/>
      <c r="G99" s="121" t="s">
        <v>200</v>
      </c>
      <c r="H99" s="69"/>
      <c r="I99" s="69"/>
      <c r="J99" s="69"/>
      <c r="K99" s="69"/>
      <c r="L99" s="69"/>
      <c r="M99" s="69"/>
      <c r="N99" s="69"/>
      <c r="O99" s="69"/>
      <c r="P99" s="69"/>
      <c r="Q99" s="69"/>
      <c r="R99" s="69"/>
      <c r="S99" s="69"/>
      <c r="T99" s="69"/>
      <c r="U99" s="69"/>
      <c r="V99" s="69"/>
      <c r="W99" s="69"/>
      <c r="X99" s="69"/>
      <c r="Y99" s="69"/>
      <c r="Z99" s="69"/>
      <c r="AA99" s="69"/>
    </row>
    <row r="100">
      <c r="Q100" s="40"/>
    </row>
    <row r="101">
      <c r="B101" s="94" t="s">
        <v>201</v>
      </c>
      <c r="C101" s="122"/>
      <c r="D101" s="123"/>
      <c r="E101" s="40"/>
      <c r="F101" s="124" t="s">
        <v>202</v>
      </c>
      <c r="G101" s="122"/>
      <c r="H101" s="122"/>
      <c r="I101" s="123"/>
      <c r="J101" s="40"/>
      <c r="K101" s="125" t="s">
        <v>203</v>
      </c>
      <c r="L101" s="126"/>
      <c r="M101" s="122"/>
      <c r="N101" s="95"/>
      <c r="O101" s="95"/>
      <c r="P101" s="95"/>
      <c r="Q101" s="122"/>
      <c r="R101" s="95"/>
      <c r="S101" s="96"/>
    </row>
    <row r="102">
      <c r="B102" s="127" t="s">
        <v>204</v>
      </c>
      <c r="D102" s="98"/>
      <c r="F102" s="97"/>
      <c r="I102" s="98"/>
      <c r="K102" s="128" t="s">
        <v>205</v>
      </c>
      <c r="L102" s="129"/>
      <c r="P102" s="80"/>
      <c r="Q102" s="40"/>
      <c r="S102" s="98"/>
    </row>
    <row r="103">
      <c r="B103" s="127" t="s">
        <v>206</v>
      </c>
      <c r="D103" s="98"/>
      <c r="F103" s="97"/>
      <c r="I103" s="98"/>
      <c r="K103" s="130" t="s">
        <v>207</v>
      </c>
      <c r="L103" s="130" t="s">
        <v>208</v>
      </c>
      <c r="S103" s="98"/>
    </row>
    <row r="104">
      <c r="B104" s="97"/>
      <c r="D104" s="98"/>
      <c r="F104" s="97"/>
      <c r="I104" s="98"/>
      <c r="K104" s="110">
        <v>0.1</v>
      </c>
      <c r="L104" s="110">
        <v>2.61</v>
      </c>
      <c r="S104" s="98"/>
    </row>
    <row r="105">
      <c r="B105" s="97"/>
      <c r="D105" s="98"/>
      <c r="F105" s="97"/>
      <c r="I105" s="98"/>
      <c r="S105" s="98"/>
    </row>
    <row r="106">
      <c r="B106" s="97"/>
      <c r="D106" s="98"/>
      <c r="F106" s="97"/>
      <c r="I106" s="98"/>
      <c r="S106" s="98"/>
    </row>
    <row r="107">
      <c r="B107" s="97"/>
      <c r="D107" s="98"/>
      <c r="F107" s="97"/>
      <c r="I107" s="98"/>
      <c r="S107" s="98"/>
    </row>
    <row r="108">
      <c r="B108" s="97"/>
      <c r="D108" s="98"/>
      <c r="F108" s="97"/>
      <c r="I108" s="98"/>
      <c r="S108" s="98"/>
    </row>
    <row r="109">
      <c r="B109" s="97"/>
      <c r="D109" s="98"/>
      <c r="F109" s="97"/>
      <c r="I109" s="98"/>
      <c r="K109" s="130">
        <v>1.0</v>
      </c>
      <c r="L109" s="130">
        <v>2.98</v>
      </c>
      <c r="S109" s="98"/>
    </row>
    <row r="110">
      <c r="B110" s="97"/>
      <c r="D110" s="98"/>
      <c r="F110" s="97"/>
      <c r="I110" s="98"/>
      <c r="K110" s="130">
        <v>2.0</v>
      </c>
      <c r="L110" s="130">
        <v>3.39</v>
      </c>
      <c r="S110" s="98"/>
    </row>
    <row r="111">
      <c r="B111" s="97"/>
      <c r="D111" s="98"/>
      <c r="F111" s="97"/>
      <c r="I111" s="98"/>
      <c r="K111" s="130">
        <v>3.0</v>
      </c>
      <c r="L111" s="130">
        <v>3.96</v>
      </c>
      <c r="S111" s="98"/>
    </row>
    <row r="112">
      <c r="B112" s="97"/>
      <c r="D112" s="98"/>
      <c r="F112" s="97"/>
      <c r="I112" s="98"/>
      <c r="K112" s="130">
        <v>4.0</v>
      </c>
      <c r="L112" s="130">
        <v>4.44</v>
      </c>
      <c r="S112" s="98"/>
    </row>
    <row r="113">
      <c r="B113" s="97"/>
      <c r="D113" s="98"/>
      <c r="F113" s="97"/>
      <c r="I113" s="98"/>
      <c r="K113" s="130">
        <v>6.0</v>
      </c>
      <c r="L113" s="130">
        <v>5.14</v>
      </c>
      <c r="S113" s="98"/>
    </row>
    <row r="114">
      <c r="B114" s="103"/>
      <c r="C114" s="104"/>
      <c r="D114" s="105"/>
      <c r="F114" s="103"/>
      <c r="G114" s="104"/>
      <c r="H114" s="104"/>
      <c r="I114" s="105"/>
      <c r="K114" s="130">
        <v>8.0</v>
      </c>
      <c r="L114" s="130">
        <v>5.6</v>
      </c>
      <c r="M114" s="104"/>
      <c r="N114" s="104"/>
      <c r="O114" s="104"/>
      <c r="P114" s="104"/>
      <c r="Q114" s="104"/>
      <c r="R114" s="104"/>
      <c r="S114" s="105"/>
    </row>
    <row r="118">
      <c r="B118" s="244" t="s">
        <v>405</v>
      </c>
    </row>
    <row r="119">
      <c r="B119" s="244" t="s">
        <v>406</v>
      </c>
    </row>
    <row r="122">
      <c r="B122" s="40"/>
      <c r="C122" s="40"/>
      <c r="D122" s="40"/>
      <c r="E122" s="40"/>
      <c r="F122" s="40"/>
      <c r="G122" s="40"/>
      <c r="H122" s="40"/>
      <c r="I122" s="40"/>
      <c r="J122" s="40"/>
      <c r="K122" s="40"/>
      <c r="L122" s="40"/>
      <c r="M122" s="40"/>
      <c r="N122" s="40"/>
      <c r="O122" s="40"/>
      <c r="P122" s="40"/>
      <c r="Q122" s="40"/>
      <c r="R122" s="40"/>
    </row>
    <row r="123">
      <c r="B123" s="40"/>
      <c r="C123" s="40"/>
      <c r="D123" s="40"/>
      <c r="E123" s="40"/>
      <c r="F123" s="40"/>
      <c r="G123" s="40"/>
      <c r="H123" s="40"/>
      <c r="I123" s="40"/>
      <c r="J123" s="40"/>
      <c r="K123" s="40"/>
      <c r="L123" s="40"/>
      <c r="M123" s="40"/>
      <c r="N123" s="40"/>
      <c r="O123" s="40"/>
      <c r="P123" s="40"/>
      <c r="Q123" s="40"/>
      <c r="R123" s="40"/>
    </row>
  </sheetData>
  <mergeCells count="2">
    <mergeCell ref="B2:O2"/>
    <mergeCell ref="K102:L102"/>
  </mergeCells>
  <conditionalFormatting sqref="C33:E33 AD33 F35:W35 C60:C61 D60 E60:W61 C98:D98 F98:AA98 E100">
    <cfRule type="cellIs" dxfId="5" priority="1" operator="lessThan">
      <formula>0.1</formula>
    </cfRule>
  </conditionalFormatting>
  <drawing r:id="rId1"/>
  <tableParts count="3">
    <tablePart r:id="rId5"/>
    <tablePart r:id="rId6"/>
    <tablePart r:id="rId7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9900FF"/>
    <outlinePr summaryBelow="0" summaryRight="0"/>
  </sheetPr>
  <sheetViews>
    <sheetView workbookViewId="0"/>
  </sheetViews>
  <sheetFormatPr customHeight="1" defaultColWidth="12.63" defaultRowHeight="15.75"/>
  <cols>
    <col customWidth="1" min="2" max="2" width="27.88"/>
    <col customWidth="1" min="3" max="3" width="25.75"/>
    <col customWidth="1" min="8" max="8" width="16.38"/>
    <col customWidth="1" min="10" max="10" width="19.38"/>
  </cols>
  <sheetData>
    <row r="2">
      <c r="B2" s="92" t="s">
        <v>407</v>
      </c>
    </row>
    <row r="4">
      <c r="B4" s="5" t="s">
        <v>408</v>
      </c>
      <c r="C4" s="41">
        <f>'STEP 3'!C11</f>
        <v>7.908179082</v>
      </c>
    </row>
    <row r="5">
      <c r="B5" s="5" t="s">
        <v>409</v>
      </c>
      <c r="C5" s="41">
        <f>C4/2</f>
        <v>3.954089541</v>
      </c>
    </row>
    <row r="6">
      <c r="B6" s="5" t="s">
        <v>410</v>
      </c>
      <c r="C6" s="31" t="str">
        <f>#REF!</f>
        <v>#REF!</v>
      </c>
    </row>
    <row r="7">
      <c r="B7" s="5" t="s">
        <v>411</v>
      </c>
      <c r="C7" s="54" t="str">
        <f>C6*C5/k_ice</f>
        <v>#REF!</v>
      </c>
    </row>
    <row r="8">
      <c r="B8" s="5" t="s">
        <v>412</v>
      </c>
      <c r="C8" s="5">
        <v>0.1987</v>
      </c>
      <c r="D8" s="5" t="s">
        <v>413</v>
      </c>
      <c r="E8" s="5">
        <f>-1*lamb_1^2*E21</f>
        <v>-0.0000008903082707</v>
      </c>
    </row>
    <row r="9">
      <c r="B9" s="5" t="s">
        <v>414</v>
      </c>
      <c r="C9" s="5">
        <f>1.006</f>
        <v>1.006</v>
      </c>
      <c r="D9" s="5" t="s">
        <v>415</v>
      </c>
    </row>
    <row r="10">
      <c r="B10" s="5" t="s">
        <v>416</v>
      </c>
      <c r="C10" s="41">
        <f>k_ice/(dens_ice*cp_ice*1000)</f>
        <v>0.000001175212544</v>
      </c>
    </row>
    <row r="11">
      <c r="B11" s="5" t="s">
        <v>417</v>
      </c>
      <c r="C11" s="5">
        <v>-5.0</v>
      </c>
      <c r="D11" s="5" t="s">
        <v>418</v>
      </c>
    </row>
    <row r="12">
      <c r="B12" s="5" t="s">
        <v>419</v>
      </c>
      <c r="C12" s="31">
        <f>T_inlet</f>
        <v>3.5</v>
      </c>
    </row>
    <row r="13">
      <c r="B13" s="5" t="s">
        <v>420</v>
      </c>
      <c r="C13" s="31" t="str">
        <f>#REF!</f>
        <v>#REF!</v>
      </c>
      <c r="D13" s="5" t="s">
        <v>421</v>
      </c>
    </row>
    <row r="18">
      <c r="B18" s="245"/>
      <c r="C18" s="246" t="s">
        <v>422</v>
      </c>
      <c r="D18" s="245"/>
      <c r="E18" s="245"/>
      <c r="F18" s="245"/>
      <c r="G18" s="245"/>
      <c r="H18" s="245"/>
      <c r="I18" s="245"/>
      <c r="J18" s="245"/>
      <c r="K18" s="245"/>
      <c r="L18" s="245"/>
      <c r="M18" s="245"/>
      <c r="N18" s="245"/>
    </row>
    <row r="19">
      <c r="C19" s="58" t="s">
        <v>423</v>
      </c>
      <c r="D19" s="5">
        <v>0.0</v>
      </c>
      <c r="E19" s="12">
        <v>5.0</v>
      </c>
      <c r="F19" s="5">
        <v>10.0</v>
      </c>
      <c r="G19" s="44">
        <v>15.0</v>
      </c>
      <c r="H19" s="247">
        <v>20.0</v>
      </c>
      <c r="I19" s="12">
        <v>30.0</v>
      </c>
      <c r="J19" s="12">
        <v>90.0</v>
      </c>
      <c r="K19" s="5">
        <v>120.0</v>
      </c>
      <c r="L19" s="5">
        <f>60*2.5</f>
        <v>150</v>
      </c>
      <c r="M19" s="5">
        <f>60*3</f>
        <v>180</v>
      </c>
    </row>
    <row r="20">
      <c r="C20" s="26" t="s">
        <v>424</v>
      </c>
      <c r="D20" s="5">
        <v>0.0</v>
      </c>
      <c r="E20" s="12">
        <f t="shared" ref="E20:M20" si="1">E19*60</f>
        <v>300</v>
      </c>
      <c r="F20" s="12">
        <f t="shared" si="1"/>
        <v>600</v>
      </c>
      <c r="G20" s="247">
        <f t="shared" si="1"/>
        <v>900</v>
      </c>
      <c r="H20" s="247">
        <f t="shared" si="1"/>
        <v>1200</v>
      </c>
      <c r="I20" s="12">
        <f t="shared" si="1"/>
        <v>1800</v>
      </c>
      <c r="J20" s="12">
        <f t="shared" si="1"/>
        <v>5400</v>
      </c>
      <c r="K20" s="12">
        <f t="shared" si="1"/>
        <v>7200</v>
      </c>
      <c r="L20" s="12">
        <f t="shared" si="1"/>
        <v>9000</v>
      </c>
      <c r="M20" s="12">
        <f t="shared" si="1"/>
        <v>10800</v>
      </c>
      <c r="N20" s="12"/>
    </row>
    <row r="21">
      <c r="B21" s="5" t="s">
        <v>425</v>
      </c>
      <c r="C21" s="5" t="s">
        <v>426</v>
      </c>
      <c r="D21" s="217">
        <v>0.0</v>
      </c>
      <c r="E21" s="248">
        <f t="shared" ref="E21:M21" si="2">$C$10*E20/$C$5^2</f>
        <v>0.00002254990277</v>
      </c>
      <c r="F21" s="248">
        <f t="shared" si="2"/>
        <v>0.00004509980554</v>
      </c>
      <c r="G21" s="249">
        <f t="shared" si="2"/>
        <v>0.00006764970831</v>
      </c>
      <c r="H21" s="249">
        <f t="shared" si="2"/>
        <v>0.00009019961108</v>
      </c>
      <c r="I21" s="248">
        <f t="shared" si="2"/>
        <v>0.0001352994166</v>
      </c>
      <c r="J21" s="248">
        <f t="shared" si="2"/>
        <v>0.0004058982499</v>
      </c>
      <c r="K21" s="248">
        <f t="shared" si="2"/>
        <v>0.0005411976665</v>
      </c>
      <c r="L21" s="248">
        <f t="shared" si="2"/>
        <v>0.0006764970831</v>
      </c>
      <c r="M21" s="248">
        <f t="shared" si="2"/>
        <v>0.0008117964997</v>
      </c>
      <c r="N21" s="248"/>
    </row>
    <row r="22">
      <c r="B22" s="218">
        <f>C5/10</f>
        <v>0.3954089541</v>
      </c>
      <c r="C22" s="5" t="s">
        <v>427</v>
      </c>
      <c r="D22" s="184" t="s">
        <v>428</v>
      </c>
      <c r="E22" s="184"/>
      <c r="G22" s="45"/>
      <c r="H22" s="250"/>
      <c r="I22" s="184"/>
      <c r="J22" s="184"/>
      <c r="K22" s="184"/>
      <c r="L22" s="184"/>
      <c r="M22" s="184"/>
      <c r="N22" s="184"/>
    </row>
    <row r="23">
      <c r="B23" s="5">
        <v>0.0</v>
      </c>
      <c r="C23" s="31">
        <f t="shared" ref="C23:C33" si="3">B23*$B$22</f>
        <v>0</v>
      </c>
      <c r="D23" s="31">
        <f>(T_i-T_inlet)*A_1*exp(-1*lamb_1^2*$D$21)*cos(lamb_1*$C23/$C$5)+T_inlet</f>
        <v>-5.051</v>
      </c>
      <c r="E23" s="31">
        <f>(T_i-T_inlet)*A_1*exp(-1*lamb_1^2*E$21)*cos(lamb_1*$C23/$C$5)+T_inlet</f>
        <v>-5.050992387</v>
      </c>
      <c r="F23" s="31">
        <f>(T_i-T_inlet)*A_1*exp(-1*lamb_1^2*F$21)*cos(lamb_1*$C23/$C$5)+T_inlet</f>
        <v>-5.050984774</v>
      </c>
      <c r="G23" s="45">
        <f>(T_i-T_inlet)*A_1*exp(-1*lamb_1^2*G$21)*cos(lamb_1*$C23/$C$5)+T_inlet</f>
        <v>-5.050977161</v>
      </c>
      <c r="H23" s="45">
        <f>(T_i-T_inlet)*A_1*exp(-1*lamb_1^2*H$21)*cos(lamb_1*$C23/$C$5)+T_inlet</f>
        <v>-5.050969548</v>
      </c>
      <c r="I23" s="31">
        <f>(T_i-T_inlet)*A_1*exp(-1*lamb_1^2*I$21)*cos(lamb_1*$C23/$C$5)+T_inlet</f>
        <v>-5.050954322</v>
      </c>
      <c r="J23" s="31">
        <f>(T_i-T_inlet)*A_1*exp(-1*lamb_1^2*J$21)*cos(lamb_1*$C23/$C$5)+T_inlet</f>
        <v>-5.050862967</v>
      </c>
      <c r="K23" s="31">
        <f>(T_i-T_inlet)*A_1*exp(-1*lamb_1^2*K$21)*cos(lamb_1*$C23/$C$5)+T_inlet</f>
        <v>-5.050817289</v>
      </c>
      <c r="L23" s="31">
        <f>(T_i-T_inlet)*A_1*exp(-1*lamb_1^2*L$21)*cos(lamb_1*$C23/$C$5)+T_inlet</f>
        <v>-5.050771612</v>
      </c>
      <c r="M23" s="31">
        <f>(T_i-T_inlet)*A_1*exp(-1*lamb_1^2*M$21)*cos(lamb_1*$C23/$C$5)+T_inlet</f>
        <v>-5.050725935</v>
      </c>
    </row>
    <row r="24">
      <c r="B24" s="5">
        <v>1.0</v>
      </c>
      <c r="C24" s="218">
        <f t="shared" si="3"/>
        <v>0.3954089541</v>
      </c>
      <c r="D24" s="31">
        <f>(T_i-T_inlet)*A_1*exp(-1*lamb_1^2*$D$21)*cos(lamb_1*$C24/$C$5)+T_inlet</f>
        <v>-5.049312016</v>
      </c>
      <c r="E24" s="31">
        <f>(T_i-T_inlet)*A_1*exp(-1*lamb_1^2*E$21)*cos(lamb_1*$C24/$C$5)+T_inlet</f>
        <v>-5.049304404</v>
      </c>
      <c r="F24" s="31">
        <f>(T_i-T_inlet)*A_1*exp(-1*lamb_1^2*F$21)*cos(lamb_1*$C24/$C$5)+T_inlet</f>
        <v>-5.049296793</v>
      </c>
      <c r="G24" s="45">
        <f>(T_i-T_inlet)*A_1*exp(-1*lamb_1^2*G$21)*cos(lamb_1*$C24/$C$5)+T_inlet</f>
        <v>-5.049289181</v>
      </c>
      <c r="H24" s="45">
        <f>(T_i-T_inlet)*A_1*exp(-1*lamb_1^2*H$21)*cos(lamb_1*$C24/$C$5)+T_inlet</f>
        <v>-5.04928157</v>
      </c>
      <c r="I24" s="31">
        <f>(T_i-T_inlet)*A_1*exp(-1*lamb_1^2*I$21)*cos(lamb_1*$C24/$C$5)+T_inlet</f>
        <v>-5.049266347</v>
      </c>
      <c r="J24" s="31">
        <f>(T_i-T_inlet)*A_1*exp(-1*lamb_1^2*J$21)*cos(lamb_1*$C24/$C$5)+T_inlet</f>
        <v>-5.04917501</v>
      </c>
      <c r="K24" s="31">
        <f>(T_i-T_inlet)*A_1*exp(-1*lamb_1^2*K$21)*cos(lamb_1*$C24/$C$5)+T_inlet</f>
        <v>-5.049129341</v>
      </c>
      <c r="L24" s="31">
        <f>(T_i-T_inlet)*A_1*exp(-1*lamb_1^2*L$21)*cos(lamb_1*$C24/$C$5)+T_inlet</f>
        <v>-5.049083673</v>
      </c>
      <c r="M24" s="31">
        <f>(T_i-T_inlet)*A_1*exp(-1*lamb_1^2*M$21)*cos(lamb_1*$C24/$C$5)+T_inlet</f>
        <v>-5.049038005</v>
      </c>
    </row>
    <row r="25">
      <c r="B25" s="5">
        <v>2.0</v>
      </c>
      <c r="C25" s="218">
        <f t="shared" si="3"/>
        <v>0.7908179082</v>
      </c>
      <c r="D25" s="31">
        <f>(T_i-T_inlet)*A_1*exp(-1*lamb_1^2*$D$21)*cos(lamb_1*$C25/$C$5)+T_inlet</f>
        <v>-5.04424873</v>
      </c>
      <c r="E25" s="31">
        <f>(T_i-T_inlet)*A_1*exp(-1*lamb_1^2*E$21)*cos(lamb_1*$C25/$C$5)+T_inlet</f>
        <v>-5.044241123</v>
      </c>
      <c r="F25" s="31">
        <f>(T_i-T_inlet)*A_1*exp(-1*lamb_1^2*F$21)*cos(lamb_1*$C25/$C$5)+T_inlet</f>
        <v>-5.044233516</v>
      </c>
      <c r="G25" s="45">
        <f>(T_i-T_inlet)*A_1*exp(-1*lamb_1^2*G$21)*cos(lamb_1*$C25/$C$5)+T_inlet</f>
        <v>-5.044225909</v>
      </c>
      <c r="H25" s="45">
        <f>(T_i-T_inlet)*A_1*exp(-1*lamb_1^2*H$21)*cos(lamb_1*$C25/$C$5)+T_inlet</f>
        <v>-5.044218302</v>
      </c>
      <c r="I25" s="31">
        <f>(T_i-T_inlet)*A_1*exp(-1*lamb_1^2*I$21)*cos(lamb_1*$C25/$C$5)+T_inlet</f>
        <v>-5.044203088</v>
      </c>
      <c r="J25" s="31">
        <f>(T_i-T_inlet)*A_1*exp(-1*lamb_1^2*J$21)*cos(lamb_1*$C25/$C$5)+T_inlet</f>
        <v>-5.044111805</v>
      </c>
      <c r="K25" s="31">
        <f>(T_i-T_inlet)*A_1*exp(-1*lamb_1^2*K$21)*cos(lamb_1*$C25/$C$5)+T_inlet</f>
        <v>-5.044066164</v>
      </c>
      <c r="L25" s="31">
        <f>(T_i-T_inlet)*A_1*exp(-1*lamb_1^2*L$21)*cos(lamb_1*$C25/$C$5)+T_inlet</f>
        <v>-5.044020523</v>
      </c>
      <c r="M25" s="31">
        <f>(T_i-T_inlet)*A_1*exp(-1*lamb_1^2*M$21)*cos(lamb_1*$C25/$C$5)+T_inlet</f>
        <v>-5.043974882</v>
      </c>
    </row>
    <row r="26">
      <c r="B26" s="5">
        <v>3.0</v>
      </c>
      <c r="C26" s="218">
        <f t="shared" si="3"/>
        <v>1.186226862</v>
      </c>
      <c r="D26" s="31">
        <f>(T_i-T_inlet)*A_1*exp(-1*lamb_1^2*$D$21)*cos(lamb_1*$C26/$C$5)+T_inlet</f>
        <v>-5.035812141</v>
      </c>
      <c r="E26" s="31">
        <f>(T_i-T_inlet)*A_1*exp(-1*lamb_1^2*E$21)*cos(lamb_1*$C26/$C$5)+T_inlet</f>
        <v>-5.035804542</v>
      </c>
      <c r="F26" s="31">
        <f>(T_i-T_inlet)*A_1*exp(-1*lamb_1^2*F$21)*cos(lamb_1*$C26/$C$5)+T_inlet</f>
        <v>-5.035796942</v>
      </c>
      <c r="G26" s="45">
        <f>(T_i-T_inlet)*A_1*exp(-1*lamb_1^2*G$21)*cos(lamb_1*$C26/$C$5)+T_inlet</f>
        <v>-5.035789343</v>
      </c>
      <c r="H26" s="45">
        <f>(T_i-T_inlet)*A_1*exp(-1*lamb_1^2*H$21)*cos(lamb_1*$C26/$C$5)+T_inlet</f>
        <v>-5.035781743</v>
      </c>
      <c r="I26" s="31">
        <f>(T_i-T_inlet)*A_1*exp(-1*lamb_1^2*I$21)*cos(lamb_1*$C26/$C$5)+T_inlet</f>
        <v>-5.035766544</v>
      </c>
      <c r="J26" s="31">
        <f>(T_i-T_inlet)*A_1*exp(-1*lamb_1^2*J$21)*cos(lamb_1*$C26/$C$5)+T_inlet</f>
        <v>-5.035675351</v>
      </c>
      <c r="K26" s="31">
        <f>(T_i-T_inlet)*A_1*exp(-1*lamb_1^2*K$21)*cos(lamb_1*$C26/$C$5)+T_inlet</f>
        <v>-5.035629755</v>
      </c>
      <c r="L26" s="31">
        <f>(T_i-T_inlet)*A_1*exp(-1*lamb_1^2*L$21)*cos(lamb_1*$C26/$C$5)+T_inlet</f>
        <v>-5.035584159</v>
      </c>
      <c r="M26" s="31">
        <f>(T_i-T_inlet)*A_1*exp(-1*lamb_1^2*M$21)*cos(lamb_1*$C26/$C$5)+T_inlet</f>
        <v>-5.035538563</v>
      </c>
    </row>
    <row r="27">
      <c r="B27" s="5">
        <v>4.0</v>
      </c>
      <c r="C27" s="218">
        <f t="shared" si="3"/>
        <v>1.581635816</v>
      </c>
      <c r="D27" s="31">
        <f>(T_i-T_inlet)*A_1*exp(-1*lamb_1^2*$D$21)*cos(lamb_1*$C27/$C$5)+T_inlet</f>
        <v>-5.02400558</v>
      </c>
      <c r="E27" s="31">
        <f>(T_i-T_inlet)*A_1*exp(-1*lamb_1^2*E$21)*cos(lamb_1*$C27/$C$5)+T_inlet</f>
        <v>-5.023997991</v>
      </c>
      <c r="F27" s="31">
        <f>(T_i-T_inlet)*A_1*exp(-1*lamb_1^2*F$21)*cos(lamb_1*$C27/$C$5)+T_inlet</f>
        <v>-5.023990402</v>
      </c>
      <c r="G27" s="45">
        <f>(T_i-T_inlet)*A_1*exp(-1*lamb_1^2*G$21)*cos(lamb_1*$C27/$C$5)+T_inlet</f>
        <v>-5.023982814</v>
      </c>
      <c r="H27" s="45">
        <f>(T_i-T_inlet)*A_1*exp(-1*lamb_1^2*H$21)*cos(lamb_1*$C27/$C$5)+T_inlet</f>
        <v>-5.023975225</v>
      </c>
      <c r="I27" s="31">
        <f>(T_i-T_inlet)*A_1*exp(-1*lamb_1^2*I$21)*cos(lamb_1*$C27/$C$5)+T_inlet</f>
        <v>-5.023960047</v>
      </c>
      <c r="J27" s="31">
        <f>(T_i-T_inlet)*A_1*exp(-1*lamb_1^2*J$21)*cos(lamb_1*$C27/$C$5)+T_inlet</f>
        <v>-5.02386898</v>
      </c>
      <c r="K27" s="31">
        <f>(T_i-T_inlet)*A_1*exp(-1*lamb_1^2*K$21)*cos(lamb_1*$C27/$C$5)+T_inlet</f>
        <v>-5.023823447</v>
      </c>
      <c r="L27" s="31">
        <f>(T_i-T_inlet)*A_1*exp(-1*lamb_1^2*L$21)*cos(lamb_1*$C27/$C$5)+T_inlet</f>
        <v>-5.023777914</v>
      </c>
      <c r="M27" s="31">
        <f>(T_i-T_inlet)*A_1*exp(-1*lamb_1^2*M$21)*cos(lamb_1*$C27/$C$5)+T_inlet</f>
        <v>-5.023732381</v>
      </c>
    </row>
    <row r="28">
      <c r="B28" s="5">
        <v>5.0</v>
      </c>
      <c r="C28" s="218">
        <f t="shared" si="3"/>
        <v>1.97704477</v>
      </c>
      <c r="D28" s="31">
        <f>(T_i-T_inlet)*A_1*exp(-1*lamb_1^2*$D$21)*cos(lamb_1*$C28/$C$5)+T_inlet</f>
        <v>-5.008833709</v>
      </c>
      <c r="E28" s="31">
        <f>(T_i-T_inlet)*A_1*exp(-1*lamb_1^2*E$21)*cos(lamb_1*$C28/$C$5)+T_inlet</f>
        <v>-5.008826134</v>
      </c>
      <c r="F28" s="31">
        <f>(T_i-T_inlet)*A_1*exp(-1*lamb_1^2*F$21)*cos(lamb_1*$C28/$C$5)+T_inlet</f>
        <v>-5.008818558</v>
      </c>
      <c r="G28" s="45">
        <f>(T_i-T_inlet)*A_1*exp(-1*lamb_1^2*G$21)*cos(lamb_1*$C28/$C$5)+T_inlet</f>
        <v>-5.008810983</v>
      </c>
      <c r="H28" s="45">
        <f>(T_i-T_inlet)*A_1*exp(-1*lamb_1^2*H$21)*cos(lamb_1*$C28/$C$5)+T_inlet</f>
        <v>-5.008803407</v>
      </c>
      <c r="I28" s="31">
        <f>(T_i-T_inlet)*A_1*exp(-1*lamb_1^2*I$21)*cos(lamb_1*$C28/$C$5)+T_inlet</f>
        <v>-5.008788256</v>
      </c>
      <c r="J28" s="31">
        <f>(T_i-T_inlet)*A_1*exp(-1*lamb_1^2*J$21)*cos(lamb_1*$C28/$C$5)+T_inlet</f>
        <v>-5.008697351</v>
      </c>
      <c r="K28" s="31">
        <f>(T_i-T_inlet)*A_1*exp(-1*lamb_1^2*K$21)*cos(lamb_1*$C28/$C$5)+T_inlet</f>
        <v>-5.008651899</v>
      </c>
      <c r="L28" s="31">
        <f>(T_i-T_inlet)*A_1*exp(-1*lamb_1^2*L$21)*cos(lamb_1*$C28/$C$5)+T_inlet</f>
        <v>-5.008606447</v>
      </c>
      <c r="M28" s="31">
        <f>(T_i-T_inlet)*A_1*exp(-1*lamb_1^2*M$21)*cos(lamb_1*$C28/$C$5)+T_inlet</f>
        <v>-5.008560996</v>
      </c>
    </row>
    <row r="29">
      <c r="B29" s="5">
        <v>6.0</v>
      </c>
      <c r="C29" s="218">
        <f t="shared" si="3"/>
        <v>2.372453724</v>
      </c>
      <c r="D29" s="31">
        <f>(T_i-T_inlet)*A_1*exp(-1*lamb_1^2*$D$21)*cos(lamb_1*$C29/$C$5)+T_inlet</f>
        <v>-4.990302517</v>
      </c>
      <c r="E29" s="31">
        <f>(T_i-T_inlet)*A_1*exp(-1*lamb_1^2*E$21)*cos(lamb_1*$C29/$C$5)+T_inlet</f>
        <v>-4.990294958</v>
      </c>
      <c r="F29" s="31">
        <f>(T_i-T_inlet)*A_1*exp(-1*lamb_1^2*F$21)*cos(lamb_1*$C29/$C$5)+T_inlet</f>
        <v>-4.990287399</v>
      </c>
      <c r="G29" s="45">
        <f>(T_i-T_inlet)*A_1*exp(-1*lamb_1^2*G$21)*cos(lamb_1*$C29/$C$5)+T_inlet</f>
        <v>-4.99027984</v>
      </c>
      <c r="H29" s="45">
        <f>(T_i-T_inlet)*A_1*exp(-1*lamb_1^2*H$21)*cos(lamb_1*$C29/$C$5)+T_inlet</f>
        <v>-4.990272281</v>
      </c>
      <c r="I29" s="31">
        <f>(T_i-T_inlet)*A_1*exp(-1*lamb_1^2*I$21)*cos(lamb_1*$C29/$C$5)+T_inlet</f>
        <v>-4.990257163</v>
      </c>
      <c r="J29" s="31">
        <f>(T_i-T_inlet)*A_1*exp(-1*lamb_1^2*J$21)*cos(lamb_1*$C29/$C$5)+T_inlet</f>
        <v>-4.990166456</v>
      </c>
      <c r="K29" s="31">
        <f>(T_i-T_inlet)*A_1*exp(-1*lamb_1^2*K$21)*cos(lamb_1*$C29/$C$5)+T_inlet</f>
        <v>-4.990121103</v>
      </c>
      <c r="L29" s="31">
        <f>(T_i-T_inlet)*A_1*exp(-1*lamb_1^2*L$21)*cos(lamb_1*$C29/$C$5)+T_inlet</f>
        <v>-4.99007575</v>
      </c>
      <c r="M29" s="31">
        <f>(T_i-T_inlet)*A_1*exp(-1*lamb_1^2*M$21)*cos(lamb_1*$C29/$C$5)+T_inlet</f>
        <v>-4.990030398</v>
      </c>
    </row>
    <row r="30">
      <c r="B30" s="5">
        <v>7.0</v>
      </c>
      <c r="C30" s="218">
        <f t="shared" si="3"/>
        <v>2.767862679</v>
      </c>
      <c r="D30" s="31">
        <f>(T_i-T_inlet)*A_1*exp(-1*lamb_1^2*$D$21)*cos(lamb_1*$C30/$C$5)+T_inlet</f>
        <v>-4.96841932</v>
      </c>
      <c r="E30" s="31">
        <f>(T_i-T_inlet)*A_1*exp(-1*lamb_1^2*E$21)*cos(lamb_1*$C30/$C$5)+T_inlet</f>
        <v>-4.96841178</v>
      </c>
      <c r="F30" s="31">
        <f>(T_i-T_inlet)*A_1*exp(-1*lamb_1^2*F$21)*cos(lamb_1*$C30/$C$5)+T_inlet</f>
        <v>-4.968404241</v>
      </c>
      <c r="G30" s="45">
        <f>(T_i-T_inlet)*A_1*exp(-1*lamb_1^2*G$21)*cos(lamb_1*$C30/$C$5)+T_inlet</f>
        <v>-4.968396701</v>
      </c>
      <c r="H30" s="45">
        <f>(T_i-T_inlet)*A_1*exp(-1*lamb_1^2*H$21)*cos(lamb_1*$C30/$C$5)+T_inlet</f>
        <v>-4.968389162</v>
      </c>
      <c r="I30" s="31">
        <f>(T_i-T_inlet)*A_1*exp(-1*lamb_1^2*I$21)*cos(lamb_1*$C30/$C$5)+T_inlet</f>
        <v>-4.968374083</v>
      </c>
      <c r="J30" s="31">
        <f>(T_i-T_inlet)*A_1*exp(-1*lamb_1^2*J$21)*cos(lamb_1*$C30/$C$5)+T_inlet</f>
        <v>-4.96828361</v>
      </c>
      <c r="K30" s="31">
        <f>(T_i-T_inlet)*A_1*exp(-1*lamb_1^2*K$21)*cos(lamb_1*$C30/$C$5)+T_inlet</f>
        <v>-4.968238374</v>
      </c>
      <c r="L30" s="31">
        <f>(T_i-T_inlet)*A_1*exp(-1*lamb_1^2*L$21)*cos(lamb_1*$C30/$C$5)+T_inlet</f>
        <v>-4.968193138</v>
      </c>
      <c r="M30" s="31">
        <f>(T_i-T_inlet)*A_1*exp(-1*lamb_1^2*M$21)*cos(lamb_1*$C30/$C$5)+T_inlet</f>
        <v>-4.968147902</v>
      </c>
    </row>
    <row r="31">
      <c r="B31" s="5">
        <v>8.0</v>
      </c>
      <c r="C31" s="218">
        <f t="shared" si="3"/>
        <v>3.163271633</v>
      </c>
      <c r="D31" s="31">
        <f>(T_i-T_inlet)*A_1*exp(-1*lamb_1^2*$D$21)*cos(lamb_1*$C31/$C$5)+T_inlet</f>
        <v>-4.943192758</v>
      </c>
      <c r="E31" s="31">
        <f>(T_i-T_inlet)*A_1*exp(-1*lamb_1^2*E$21)*cos(lamb_1*$C31/$C$5)+T_inlet</f>
        <v>-4.943185241</v>
      </c>
      <c r="F31" s="31">
        <f>(T_i-T_inlet)*A_1*exp(-1*lamb_1^2*F$21)*cos(lamb_1*$C31/$C$5)+T_inlet</f>
        <v>-4.943177724</v>
      </c>
      <c r="G31" s="45">
        <f>(T_i-T_inlet)*A_1*exp(-1*lamb_1^2*G$21)*cos(lamb_1*$C31/$C$5)+T_inlet</f>
        <v>-4.943170207</v>
      </c>
      <c r="H31" s="45">
        <f>(T_i-T_inlet)*A_1*exp(-1*lamb_1^2*H$21)*cos(lamb_1*$C31/$C$5)+T_inlet</f>
        <v>-4.94316269</v>
      </c>
      <c r="I31" s="31">
        <f>(T_i-T_inlet)*A_1*exp(-1*lamb_1^2*I$21)*cos(lamb_1*$C31/$C$5)+T_inlet</f>
        <v>-4.943147656</v>
      </c>
      <c r="J31" s="31">
        <f>(T_i-T_inlet)*A_1*exp(-1*lamb_1^2*J$21)*cos(lamb_1*$C31/$C$5)+T_inlet</f>
        <v>-4.943057452</v>
      </c>
      <c r="K31" s="31">
        <f>(T_i-T_inlet)*A_1*exp(-1*lamb_1^2*K$21)*cos(lamb_1*$C31/$C$5)+T_inlet</f>
        <v>-4.943012351</v>
      </c>
      <c r="L31" s="31">
        <f>(T_i-T_inlet)*A_1*exp(-1*lamb_1^2*L$21)*cos(lamb_1*$C31/$C$5)+T_inlet</f>
        <v>-4.942967249</v>
      </c>
      <c r="M31" s="31">
        <f>(T_i-T_inlet)*A_1*exp(-1*lamb_1^2*M$21)*cos(lamb_1*$C31/$C$5)+T_inlet</f>
        <v>-4.942922148</v>
      </c>
    </row>
    <row r="32">
      <c r="B32" s="5">
        <v>9.0</v>
      </c>
      <c r="C32" s="218">
        <f t="shared" si="3"/>
        <v>3.558680587</v>
      </c>
      <c r="D32" s="31">
        <f>(T_i-T_inlet)*A_1*exp(-1*lamb_1^2*$D$21)*cos(lamb_1*$C32/$C$5)+T_inlet</f>
        <v>-4.91463279</v>
      </c>
      <c r="E32" s="31">
        <f>(T_i-T_inlet)*A_1*exp(-1*lamb_1^2*E$21)*cos(lamb_1*$C32/$C$5)+T_inlet</f>
        <v>-4.914625299</v>
      </c>
      <c r="F32" s="31">
        <f>(T_i-T_inlet)*A_1*exp(-1*lamb_1^2*F$21)*cos(lamb_1*$C32/$C$5)+T_inlet</f>
        <v>-4.914617807</v>
      </c>
      <c r="G32" s="45">
        <f>(T_i-T_inlet)*A_1*exp(-1*lamb_1^2*G$21)*cos(lamb_1*$C32/$C$5)+T_inlet</f>
        <v>-4.914610315</v>
      </c>
      <c r="H32" s="45">
        <f>(T_i-T_inlet)*A_1*exp(-1*lamb_1^2*H$21)*cos(lamb_1*$C32/$C$5)+T_inlet</f>
        <v>-4.914602824</v>
      </c>
      <c r="I32" s="31">
        <f>(T_i-T_inlet)*A_1*exp(-1*lamb_1^2*I$21)*cos(lamb_1*$C32/$C$5)+T_inlet</f>
        <v>-4.914587841</v>
      </c>
      <c r="J32" s="31">
        <f>(T_i-T_inlet)*A_1*exp(-1*lamb_1^2*J$21)*cos(lamb_1*$C32/$C$5)+T_inlet</f>
        <v>-4.914497942</v>
      </c>
      <c r="K32" s="31">
        <f>(T_i-T_inlet)*A_1*exp(-1*lamb_1^2*K$21)*cos(lamb_1*$C32/$C$5)+T_inlet</f>
        <v>-4.914452993</v>
      </c>
      <c r="L32" s="31">
        <f>(T_i-T_inlet)*A_1*exp(-1*lamb_1^2*L$21)*cos(lamb_1*$C32/$C$5)+T_inlet</f>
        <v>-4.914408045</v>
      </c>
      <c r="M32" s="31">
        <f>(T_i-T_inlet)*A_1*exp(-1*lamb_1^2*M$21)*cos(lamb_1*$C32/$C$5)+T_inlet</f>
        <v>-4.914363096</v>
      </c>
    </row>
    <row r="33">
      <c r="B33" s="251">
        <v>10.0</v>
      </c>
      <c r="C33" s="252">
        <f t="shared" si="3"/>
        <v>3.954089541</v>
      </c>
      <c r="D33" s="253">
        <f>(T_i-T_inlet)*A_1*exp(-1*lamb_1^2*$D$21)*cos(lamb_1*$C33/$C$5)+T_inlet</f>
        <v>-4.882750693</v>
      </c>
      <c r="E33" s="253">
        <f>(T_i-T_inlet)*A_1*exp(-1*lamb_1^2*E$21)*cos(lamb_1*$C33/$C$5)+T_inlet</f>
        <v>-4.88274323</v>
      </c>
      <c r="F33" s="253">
        <f>(T_i-T_inlet)*A_1*exp(-1*lamb_1^2*F$21)*cos(lamb_1*$C33/$C$5)+T_inlet</f>
        <v>-4.882735766</v>
      </c>
      <c r="G33" s="45">
        <f>(T_i-T_inlet)*A_1*exp(-1*lamb_1^2*G$21)*cos(lamb_1*$C33/$C$5)+T_inlet</f>
        <v>-4.882728303</v>
      </c>
      <c r="H33" s="45">
        <f>(T_i-T_inlet)*A_1*exp(-1*lamb_1^2*H$21)*cos(lamb_1*$C33/$C$5)+T_inlet</f>
        <v>-4.88272084</v>
      </c>
      <c r="I33" s="253">
        <f>(T_i-T_inlet)*A_1*exp(-1*lamb_1^2*I$21)*cos(lamb_1*$C33/$C$5)+T_inlet</f>
        <v>-4.882705914</v>
      </c>
      <c r="J33" s="253">
        <f>(T_i-T_inlet)*A_1*exp(-1*lamb_1^2*J$21)*cos(lamb_1*$C33/$C$5)+T_inlet</f>
        <v>-4.882616356</v>
      </c>
      <c r="K33" s="253">
        <f>(T_i-T_inlet)*A_1*exp(-1*lamb_1^2*K$21)*cos(lamb_1*$C33/$C$5)+T_inlet</f>
        <v>-4.882571577</v>
      </c>
      <c r="L33" s="253">
        <f>(T_i-T_inlet)*A_1*exp(-1*lamb_1^2*L$21)*cos(lamb_1*$C33/$C$5)+T_inlet</f>
        <v>-4.882526799</v>
      </c>
      <c r="M33" s="253">
        <f>(T_i-T_inlet)*A_1*exp(-1*lamb_1^2*M$21)*cos(lamb_1*$C33/$C$5)+T_inlet</f>
        <v>-4.882482021</v>
      </c>
      <c r="N33" s="253"/>
    </row>
    <row r="36">
      <c r="B36" s="37"/>
      <c r="C36" s="246" t="s">
        <v>429</v>
      </c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</row>
    <row r="37">
      <c r="C37" s="58" t="s">
        <v>423</v>
      </c>
      <c r="D37" s="31">
        <f t="shared" ref="D37:N37" si="4">D19</f>
        <v>0</v>
      </c>
      <c r="E37" s="31">
        <f t="shared" si="4"/>
        <v>5</v>
      </c>
      <c r="F37" s="31">
        <f t="shared" si="4"/>
        <v>10</v>
      </c>
      <c r="G37" s="31">
        <f t="shared" si="4"/>
        <v>15</v>
      </c>
      <c r="H37" s="31">
        <f t="shared" si="4"/>
        <v>20</v>
      </c>
      <c r="I37" s="31">
        <f t="shared" si="4"/>
        <v>30</v>
      </c>
      <c r="J37" s="31">
        <f t="shared" si="4"/>
        <v>90</v>
      </c>
      <c r="K37" s="205">
        <f t="shared" si="4"/>
        <v>120</v>
      </c>
      <c r="L37" s="205">
        <f t="shared" si="4"/>
        <v>150</v>
      </c>
      <c r="M37" s="31">
        <f t="shared" si="4"/>
        <v>180</v>
      </c>
      <c r="N37" s="31" t="str">
        <f t="shared" si="4"/>
        <v/>
      </c>
    </row>
    <row r="38">
      <c r="B38" s="5" t="s">
        <v>425</v>
      </c>
      <c r="C38" s="26" t="s">
        <v>424</v>
      </c>
      <c r="D38" s="31">
        <f t="shared" ref="D38:M38" si="5">D20</f>
        <v>0</v>
      </c>
      <c r="E38" s="31">
        <f t="shared" si="5"/>
        <v>300</v>
      </c>
      <c r="F38" s="31">
        <f t="shared" si="5"/>
        <v>600</v>
      </c>
      <c r="G38" s="31">
        <f t="shared" si="5"/>
        <v>900</v>
      </c>
      <c r="H38" s="31">
        <f t="shared" si="5"/>
        <v>1200</v>
      </c>
      <c r="I38" s="31">
        <f t="shared" si="5"/>
        <v>1800</v>
      </c>
      <c r="J38" s="31">
        <f t="shared" si="5"/>
        <v>5400</v>
      </c>
      <c r="K38" s="205">
        <f t="shared" si="5"/>
        <v>7200</v>
      </c>
      <c r="L38" s="205">
        <f t="shared" si="5"/>
        <v>9000</v>
      </c>
      <c r="M38" s="31">
        <f t="shared" si="5"/>
        <v>10800</v>
      </c>
      <c r="N38" s="12"/>
    </row>
    <row r="39">
      <c r="B39" s="218">
        <f>C27/10</f>
        <v>0.1581635816</v>
      </c>
      <c r="C39" s="5" t="s">
        <v>426</v>
      </c>
      <c r="D39" s="248">
        <f t="shared" ref="D39:M39" si="6">D21</f>
        <v>0</v>
      </c>
      <c r="E39" s="248">
        <f t="shared" si="6"/>
        <v>0.00002254990277</v>
      </c>
      <c r="F39" s="248">
        <f t="shared" si="6"/>
        <v>0.00004509980554</v>
      </c>
      <c r="G39" s="248">
        <f t="shared" si="6"/>
        <v>0.00006764970831</v>
      </c>
      <c r="H39" s="248">
        <f t="shared" si="6"/>
        <v>0.00009019961108</v>
      </c>
      <c r="I39" s="248">
        <f t="shared" si="6"/>
        <v>0.0001352994166</v>
      </c>
      <c r="J39" s="248">
        <f t="shared" si="6"/>
        <v>0.0004058982499</v>
      </c>
      <c r="K39" s="254">
        <f t="shared" si="6"/>
        <v>0.0005411976665</v>
      </c>
      <c r="L39" s="254">
        <f t="shared" si="6"/>
        <v>0.0006764970831</v>
      </c>
      <c r="M39" s="248">
        <f t="shared" si="6"/>
        <v>0.0008117964997</v>
      </c>
      <c r="N39" s="248"/>
    </row>
    <row r="40">
      <c r="C40" s="5" t="s">
        <v>427</v>
      </c>
      <c r="D40" s="184" t="s">
        <v>428</v>
      </c>
      <c r="E40" s="184"/>
      <c r="H40" s="184"/>
      <c r="I40" s="184"/>
      <c r="J40" s="184"/>
      <c r="K40" s="255"/>
      <c r="L40" s="255"/>
      <c r="M40" s="184"/>
      <c r="N40" s="184"/>
    </row>
    <row r="41">
      <c r="B41" s="5">
        <v>0.0</v>
      </c>
      <c r="C41" s="31">
        <f t="shared" ref="C41:C51" si="7">B41*$B$22</f>
        <v>0</v>
      </c>
      <c r="D41" s="31" t="str">
        <f>(T_i-T_outlet)*A_1*exp(-1*lamb_1^2*$D$21)*cos(lamb_1*$C41/$C$5)+T_outlet</f>
        <v>#REF!</v>
      </c>
      <c r="E41" s="31" t="str">
        <f>(T_i-T_outlet)*A_1*exp(-1*lamb_1^2*E$21)*cos(lamb_1*$C41/$C$5)+T_outlet</f>
        <v>#REF!</v>
      </c>
      <c r="F41" s="31" t="str">
        <f>(T_i-T_outlet)*A_1*exp(-1*lamb_1^2*F$21)*cos(lamb_1*$C41/$C$5)+T_outlet</f>
        <v>#REF!</v>
      </c>
      <c r="G41" s="31" t="str">
        <f>(T_i-T_outlet)*A_1*exp(-1*lamb_1^2*G$21)*cos(lamb_1*$C41/$C$5)+T_outlet</f>
        <v>#REF!</v>
      </c>
      <c r="H41" s="31" t="str">
        <f>(T_i-T_outlet)*A_1*exp(-1*lamb_1^2*H$21)*cos(lamb_1*$C41/$C$5)+T_outlet</f>
        <v>#REF!</v>
      </c>
      <c r="I41" s="31" t="str">
        <f>(T_i-T_outlet)*A_1*exp(-1*lamb_1^2*I$21)*cos(lamb_1*$C41/$C$5)+T_outlet</f>
        <v>#REF!</v>
      </c>
      <c r="J41" s="31" t="str">
        <f>(T_i-T_outlet)*A_1*exp(-1*lamb_1^2*J$21)*cos(lamb_1*$C41/$C$5)+T_outlet</f>
        <v>#REF!</v>
      </c>
      <c r="K41" s="205" t="str">
        <f>(T_i-T_outlet)*A_1*exp(-1*lamb_1^2*K$21)*cos(lamb_1*$C41/$C$5)+T_outlet</f>
        <v>#REF!</v>
      </c>
      <c r="L41" s="205" t="str">
        <f>(T_i-T_outlet)*A_1*exp(-1*lamb_1^2*L$21)*cos(lamb_1*$C41/$C$5)+T_outlet</f>
        <v>#REF!</v>
      </c>
      <c r="M41" s="31" t="str">
        <f>(T_i-T_outlet)*A_1*exp(-1*lamb_1^2*M$21)*cos(lamb_1*$C41/$C$5)+T_outlet</f>
        <v>#REF!</v>
      </c>
    </row>
    <row r="42">
      <c r="B42" s="5">
        <v>1.0</v>
      </c>
      <c r="C42" s="218">
        <f t="shared" si="7"/>
        <v>0.3954089541</v>
      </c>
      <c r="D42" s="31" t="str">
        <f>(T_i-T_outlet)*A_1*exp(-1*lamb_1^2*$D$21)*cos(lamb_1*$C42/$C$5)+T_outlet</f>
        <v>#REF!</v>
      </c>
      <c r="E42" s="31" t="str">
        <f>(T_i-T_outlet)*A_1*exp(-1*lamb_1^2*E$21)*cos(lamb_1*$C42/$C$5)+T_outlet</f>
        <v>#REF!</v>
      </c>
      <c r="F42" s="31" t="str">
        <f>(T_i-T_outlet)*A_1*exp(-1*lamb_1^2*F$21)*cos(lamb_1*$C42/$C$5)+T_outlet</f>
        <v>#REF!</v>
      </c>
      <c r="G42" s="31" t="str">
        <f>(T_i-T_outlet)*A_1*exp(-1*lamb_1^2*G$21)*cos(lamb_1*$C42/$C$5)+T_outlet</f>
        <v>#REF!</v>
      </c>
      <c r="H42" s="31" t="str">
        <f>(T_i-T_outlet)*A_1*exp(-1*lamb_1^2*H$21)*cos(lamb_1*$C42/$C$5)+T_outlet</f>
        <v>#REF!</v>
      </c>
      <c r="I42" s="31" t="str">
        <f>(T_i-T_outlet)*A_1*exp(-1*lamb_1^2*I$21)*cos(lamb_1*$C42/$C$5)+T_outlet</f>
        <v>#REF!</v>
      </c>
      <c r="J42" s="31" t="str">
        <f>(T_i-T_outlet)*A_1*exp(-1*lamb_1^2*J$21)*cos(lamb_1*$C42/$C$5)+T_outlet</f>
        <v>#REF!</v>
      </c>
      <c r="K42" s="205" t="str">
        <f>(T_i-T_outlet)*A_1*exp(-1*lamb_1^2*K$21)*cos(lamb_1*$C42/$C$5)+T_outlet</f>
        <v>#REF!</v>
      </c>
      <c r="L42" s="205" t="str">
        <f>(T_i-T_outlet)*A_1*exp(-1*lamb_1^2*L$21)*cos(lamb_1*$C42/$C$5)+T_outlet</f>
        <v>#REF!</v>
      </c>
      <c r="M42" s="31" t="str">
        <f>(T_i-T_outlet)*A_1*exp(-1*lamb_1^2*M$21)*cos(lamb_1*$C42/$C$5)+T_outlet</f>
        <v>#REF!</v>
      </c>
    </row>
    <row r="43">
      <c r="B43" s="5">
        <v>2.0</v>
      </c>
      <c r="C43" s="218">
        <f t="shared" si="7"/>
        <v>0.7908179082</v>
      </c>
      <c r="D43" s="31" t="str">
        <f>(T_i-T_outlet)*A_1*exp(-1*lamb_1^2*$D$21)*cos(lamb_1*$C43/$C$5)+T_outlet</f>
        <v>#REF!</v>
      </c>
      <c r="E43" s="31" t="str">
        <f>(T_i-T_outlet)*A_1*exp(-1*lamb_1^2*E$21)*cos(lamb_1*$C43/$C$5)+T_outlet</f>
        <v>#REF!</v>
      </c>
      <c r="F43" s="31" t="str">
        <f>(T_i-T_outlet)*A_1*exp(-1*lamb_1^2*F$21)*cos(lamb_1*$C43/$C$5)+T_outlet</f>
        <v>#REF!</v>
      </c>
      <c r="G43" s="31" t="str">
        <f>(T_i-T_outlet)*A_1*exp(-1*lamb_1^2*G$21)*cos(lamb_1*$C43/$C$5)+T_outlet</f>
        <v>#REF!</v>
      </c>
      <c r="H43" s="31" t="str">
        <f>(T_i-T_outlet)*A_1*exp(-1*lamb_1^2*H$21)*cos(lamb_1*$C43/$C$5)+T_outlet</f>
        <v>#REF!</v>
      </c>
      <c r="I43" s="31" t="str">
        <f>(T_i-T_outlet)*A_1*exp(-1*lamb_1^2*I$21)*cos(lamb_1*$C43/$C$5)+T_outlet</f>
        <v>#REF!</v>
      </c>
      <c r="J43" s="31" t="str">
        <f>(T_i-T_outlet)*A_1*exp(-1*lamb_1^2*J$21)*cos(lamb_1*$C43/$C$5)+T_outlet</f>
        <v>#REF!</v>
      </c>
      <c r="K43" s="205" t="str">
        <f>(T_i-T_outlet)*A_1*exp(-1*lamb_1^2*K$21)*cos(lamb_1*$C43/$C$5)+T_outlet</f>
        <v>#REF!</v>
      </c>
      <c r="L43" s="205" t="str">
        <f>(T_i-T_outlet)*A_1*exp(-1*lamb_1^2*L$21)*cos(lamb_1*$C43/$C$5)+T_outlet</f>
        <v>#REF!</v>
      </c>
      <c r="M43" s="31" t="str">
        <f>(T_i-T_outlet)*A_1*exp(-1*lamb_1^2*M$21)*cos(lamb_1*$C43/$C$5)+T_outlet</f>
        <v>#REF!</v>
      </c>
    </row>
    <row r="44">
      <c r="B44" s="5">
        <v>3.0</v>
      </c>
      <c r="C44" s="218">
        <f t="shared" si="7"/>
        <v>1.186226862</v>
      </c>
      <c r="D44" s="31" t="str">
        <f>(T_i-T_outlet)*A_1*exp(-1*lamb_1^2*$D$21)*cos(lamb_1*$C44/$C$5)+T_outlet</f>
        <v>#REF!</v>
      </c>
      <c r="E44" s="31" t="str">
        <f>(T_i-T_outlet)*A_1*exp(-1*lamb_1^2*E$21)*cos(lamb_1*$C44/$C$5)+T_outlet</f>
        <v>#REF!</v>
      </c>
      <c r="F44" s="31" t="str">
        <f>(T_i-T_outlet)*A_1*exp(-1*lamb_1^2*F$21)*cos(lamb_1*$C44/$C$5)+T_outlet</f>
        <v>#REF!</v>
      </c>
      <c r="G44" s="31" t="str">
        <f>(T_i-T_outlet)*A_1*exp(-1*lamb_1^2*G$21)*cos(lamb_1*$C44/$C$5)+T_outlet</f>
        <v>#REF!</v>
      </c>
      <c r="H44" s="31" t="str">
        <f>(T_i-T_outlet)*A_1*exp(-1*lamb_1^2*H$21)*cos(lamb_1*$C44/$C$5)+T_outlet</f>
        <v>#REF!</v>
      </c>
      <c r="I44" s="31" t="str">
        <f>(T_i-T_outlet)*A_1*exp(-1*lamb_1^2*I$21)*cos(lamb_1*$C44/$C$5)+T_outlet</f>
        <v>#REF!</v>
      </c>
      <c r="J44" s="31" t="str">
        <f>(T_i-T_outlet)*A_1*exp(-1*lamb_1^2*J$21)*cos(lamb_1*$C44/$C$5)+T_outlet</f>
        <v>#REF!</v>
      </c>
      <c r="K44" s="205" t="str">
        <f>(T_i-T_outlet)*A_1*exp(-1*lamb_1^2*K$21)*cos(lamb_1*$C44/$C$5)+T_outlet</f>
        <v>#REF!</v>
      </c>
      <c r="L44" s="205" t="str">
        <f>(T_i-T_outlet)*A_1*exp(-1*lamb_1^2*L$21)*cos(lamb_1*$C44/$C$5)+T_outlet</f>
        <v>#REF!</v>
      </c>
      <c r="M44" s="31" t="str">
        <f>(T_i-T_outlet)*A_1*exp(-1*lamb_1^2*M$21)*cos(lamb_1*$C44/$C$5)+T_outlet</f>
        <v>#REF!</v>
      </c>
    </row>
    <row r="45">
      <c r="B45" s="5">
        <v>4.0</v>
      </c>
      <c r="C45" s="218">
        <f t="shared" si="7"/>
        <v>1.581635816</v>
      </c>
      <c r="D45" s="31" t="str">
        <f>(T_i-T_outlet)*A_1*exp(-1*lamb_1^2*$D$21)*cos(lamb_1*$C45/$C$5)+T_outlet</f>
        <v>#REF!</v>
      </c>
      <c r="E45" s="31" t="str">
        <f>(T_i-T_outlet)*A_1*exp(-1*lamb_1^2*E$21)*cos(lamb_1*$C45/$C$5)+T_outlet</f>
        <v>#REF!</v>
      </c>
      <c r="F45" s="31" t="str">
        <f>(T_i-T_outlet)*A_1*exp(-1*lamb_1^2*F$21)*cos(lamb_1*$C45/$C$5)+T_outlet</f>
        <v>#REF!</v>
      </c>
      <c r="G45" s="31" t="str">
        <f>(T_i-T_outlet)*A_1*exp(-1*lamb_1^2*G$21)*cos(lamb_1*$C45/$C$5)+T_outlet</f>
        <v>#REF!</v>
      </c>
      <c r="H45" s="31" t="str">
        <f>(T_i-T_outlet)*A_1*exp(-1*lamb_1^2*H$21)*cos(lamb_1*$C45/$C$5)+T_outlet</f>
        <v>#REF!</v>
      </c>
      <c r="I45" s="31" t="str">
        <f>(T_i-T_outlet)*A_1*exp(-1*lamb_1^2*I$21)*cos(lamb_1*$C45/$C$5)+T_outlet</f>
        <v>#REF!</v>
      </c>
      <c r="J45" s="31" t="str">
        <f>(T_i-T_outlet)*A_1*exp(-1*lamb_1^2*J$21)*cos(lamb_1*$C45/$C$5)+T_outlet</f>
        <v>#REF!</v>
      </c>
      <c r="K45" s="205" t="str">
        <f>(T_i-T_outlet)*A_1*exp(-1*lamb_1^2*K$21)*cos(lamb_1*$C45/$C$5)+T_outlet</f>
        <v>#REF!</v>
      </c>
      <c r="L45" s="205" t="str">
        <f>(T_i-T_outlet)*A_1*exp(-1*lamb_1^2*L$21)*cos(lamb_1*$C45/$C$5)+T_outlet</f>
        <v>#REF!</v>
      </c>
      <c r="M45" s="31" t="str">
        <f>(T_i-T_outlet)*A_1*exp(-1*lamb_1^2*M$21)*cos(lamb_1*$C45/$C$5)+T_outlet</f>
        <v>#REF!</v>
      </c>
    </row>
    <row r="46">
      <c r="B46" s="5">
        <v>5.0</v>
      </c>
      <c r="C46" s="218">
        <f t="shared" si="7"/>
        <v>1.97704477</v>
      </c>
      <c r="D46" s="31" t="str">
        <f>(T_i-T_outlet)*A_1*exp(-1*lamb_1^2*$D$21)*cos(lamb_1*$C46/$C$5)+T_outlet</f>
        <v>#REF!</v>
      </c>
      <c r="E46" s="31" t="str">
        <f>(T_i-T_outlet)*A_1*exp(-1*lamb_1^2*E$21)*cos(lamb_1*$C46/$C$5)+T_outlet</f>
        <v>#REF!</v>
      </c>
      <c r="F46" s="31" t="str">
        <f>(T_i-T_outlet)*A_1*exp(-1*lamb_1^2*F$21)*cos(lamb_1*$C46/$C$5)+T_outlet</f>
        <v>#REF!</v>
      </c>
      <c r="G46" s="31" t="str">
        <f>(T_i-T_outlet)*A_1*exp(-1*lamb_1^2*G$21)*cos(lamb_1*$C46/$C$5)+T_outlet</f>
        <v>#REF!</v>
      </c>
      <c r="H46" s="31" t="str">
        <f>(T_i-T_outlet)*A_1*exp(-1*lamb_1^2*H$21)*cos(lamb_1*$C46/$C$5)+T_outlet</f>
        <v>#REF!</v>
      </c>
      <c r="I46" s="31" t="str">
        <f>(T_i-T_outlet)*A_1*exp(-1*lamb_1^2*I$21)*cos(lamb_1*$C46/$C$5)+T_outlet</f>
        <v>#REF!</v>
      </c>
      <c r="J46" s="31" t="str">
        <f>(T_i-T_outlet)*A_1*exp(-1*lamb_1^2*J$21)*cos(lamb_1*$C46/$C$5)+T_outlet</f>
        <v>#REF!</v>
      </c>
      <c r="K46" s="205" t="str">
        <f>(T_i-T_outlet)*A_1*exp(-1*lamb_1^2*K$21)*cos(lamb_1*$C46/$C$5)+T_outlet</f>
        <v>#REF!</v>
      </c>
      <c r="L46" s="205" t="str">
        <f>(T_i-T_outlet)*A_1*exp(-1*lamb_1^2*L$21)*cos(lamb_1*$C46/$C$5)+T_outlet</f>
        <v>#REF!</v>
      </c>
      <c r="M46" s="31" t="str">
        <f>(T_i-T_outlet)*A_1*exp(-1*lamb_1^2*M$21)*cos(lamb_1*$C46/$C$5)+T_outlet</f>
        <v>#REF!</v>
      </c>
    </row>
    <row r="47">
      <c r="B47" s="5">
        <v>6.0</v>
      </c>
      <c r="C47" s="218">
        <f t="shared" si="7"/>
        <v>2.372453724</v>
      </c>
      <c r="D47" s="31" t="str">
        <f>(T_i-T_outlet)*A_1*exp(-1*lamb_1^2*$D$21)*cos(lamb_1*$C47/$C$5)+T_outlet</f>
        <v>#REF!</v>
      </c>
      <c r="E47" s="31" t="str">
        <f>(T_i-T_outlet)*A_1*exp(-1*lamb_1^2*E$21)*cos(lamb_1*$C47/$C$5)+T_outlet</f>
        <v>#REF!</v>
      </c>
      <c r="F47" s="31" t="str">
        <f>(T_i-T_outlet)*A_1*exp(-1*lamb_1^2*F$21)*cos(lamb_1*$C47/$C$5)+T_outlet</f>
        <v>#REF!</v>
      </c>
      <c r="G47" s="31" t="str">
        <f>(T_i-T_outlet)*A_1*exp(-1*lamb_1^2*G$21)*cos(lamb_1*$C47/$C$5)+T_outlet</f>
        <v>#REF!</v>
      </c>
      <c r="H47" s="31" t="str">
        <f>(T_i-T_outlet)*A_1*exp(-1*lamb_1^2*H$21)*cos(lamb_1*$C47/$C$5)+T_outlet</f>
        <v>#REF!</v>
      </c>
      <c r="I47" s="31" t="str">
        <f>(T_i-T_outlet)*A_1*exp(-1*lamb_1^2*I$21)*cos(lamb_1*$C47/$C$5)+T_outlet</f>
        <v>#REF!</v>
      </c>
      <c r="J47" s="31" t="str">
        <f>(T_i-T_outlet)*A_1*exp(-1*lamb_1^2*J$21)*cos(lamb_1*$C47/$C$5)+T_outlet</f>
        <v>#REF!</v>
      </c>
      <c r="K47" s="205" t="str">
        <f>(T_i-T_outlet)*A_1*exp(-1*lamb_1^2*K$21)*cos(lamb_1*$C47/$C$5)+T_outlet</f>
        <v>#REF!</v>
      </c>
      <c r="L47" s="205" t="str">
        <f>(T_i-T_outlet)*A_1*exp(-1*lamb_1^2*L$21)*cos(lamb_1*$C47/$C$5)+T_outlet</f>
        <v>#REF!</v>
      </c>
      <c r="M47" s="31" t="str">
        <f>(T_i-T_outlet)*A_1*exp(-1*lamb_1^2*M$21)*cos(lamb_1*$C47/$C$5)+T_outlet</f>
        <v>#REF!</v>
      </c>
    </row>
    <row r="48">
      <c r="B48" s="5">
        <v>7.0</v>
      </c>
      <c r="C48" s="218">
        <f t="shared" si="7"/>
        <v>2.767862679</v>
      </c>
      <c r="D48" s="31" t="str">
        <f>(T_i-T_outlet)*A_1*exp(-1*lamb_1^2*$D$21)*cos(lamb_1*$C48/$C$5)+T_outlet</f>
        <v>#REF!</v>
      </c>
      <c r="E48" s="31" t="str">
        <f>(T_i-T_outlet)*A_1*exp(-1*lamb_1^2*E$21)*cos(lamb_1*$C48/$C$5)+T_outlet</f>
        <v>#REF!</v>
      </c>
      <c r="F48" s="31" t="str">
        <f>(T_i-T_outlet)*A_1*exp(-1*lamb_1^2*F$21)*cos(lamb_1*$C48/$C$5)+T_outlet</f>
        <v>#REF!</v>
      </c>
      <c r="G48" s="31" t="str">
        <f>(T_i-T_outlet)*A_1*exp(-1*lamb_1^2*G$21)*cos(lamb_1*$C48/$C$5)+T_outlet</f>
        <v>#REF!</v>
      </c>
      <c r="H48" s="31" t="str">
        <f>(T_i-T_outlet)*A_1*exp(-1*lamb_1^2*H$21)*cos(lamb_1*$C48/$C$5)+T_outlet</f>
        <v>#REF!</v>
      </c>
      <c r="I48" s="31" t="str">
        <f>(T_i-T_outlet)*A_1*exp(-1*lamb_1^2*I$21)*cos(lamb_1*$C48/$C$5)+T_outlet</f>
        <v>#REF!</v>
      </c>
      <c r="J48" s="31" t="str">
        <f>(T_i-T_outlet)*A_1*exp(-1*lamb_1^2*J$21)*cos(lamb_1*$C48/$C$5)+T_outlet</f>
        <v>#REF!</v>
      </c>
      <c r="K48" s="205" t="str">
        <f>(T_i-T_outlet)*A_1*exp(-1*lamb_1^2*K$21)*cos(lamb_1*$C48/$C$5)+T_outlet</f>
        <v>#REF!</v>
      </c>
      <c r="L48" s="205" t="str">
        <f>(T_i-T_outlet)*A_1*exp(-1*lamb_1^2*L$21)*cos(lamb_1*$C48/$C$5)+T_outlet</f>
        <v>#REF!</v>
      </c>
      <c r="M48" s="31" t="str">
        <f>(T_i-T_outlet)*A_1*exp(-1*lamb_1^2*M$21)*cos(lamb_1*$C48/$C$5)+T_outlet</f>
        <v>#REF!</v>
      </c>
    </row>
    <row r="49">
      <c r="B49" s="5">
        <v>8.0</v>
      </c>
      <c r="C49" s="218">
        <f t="shared" si="7"/>
        <v>3.163271633</v>
      </c>
      <c r="D49" s="31" t="str">
        <f>(T_i-T_outlet)*A_1*exp(-1*lamb_1^2*$D$21)*cos(lamb_1*$C49/$C$5)+T_outlet</f>
        <v>#REF!</v>
      </c>
      <c r="E49" s="31" t="str">
        <f>(T_i-T_outlet)*A_1*exp(-1*lamb_1^2*E$21)*cos(lamb_1*$C49/$C$5)+T_outlet</f>
        <v>#REF!</v>
      </c>
      <c r="F49" s="31" t="str">
        <f>(T_i-T_outlet)*A_1*exp(-1*lamb_1^2*F$21)*cos(lamb_1*$C49/$C$5)+T_outlet</f>
        <v>#REF!</v>
      </c>
      <c r="G49" s="31" t="str">
        <f>(T_i-T_outlet)*A_1*exp(-1*lamb_1^2*G$21)*cos(lamb_1*$C49/$C$5)+T_outlet</f>
        <v>#REF!</v>
      </c>
      <c r="H49" s="31" t="str">
        <f>(T_i-T_outlet)*A_1*exp(-1*lamb_1^2*H$21)*cos(lamb_1*$C49/$C$5)+T_outlet</f>
        <v>#REF!</v>
      </c>
      <c r="I49" s="31" t="str">
        <f>(T_i-T_outlet)*A_1*exp(-1*lamb_1^2*I$21)*cos(lamb_1*$C49/$C$5)+T_outlet</f>
        <v>#REF!</v>
      </c>
      <c r="J49" s="31" t="str">
        <f>(T_i-T_outlet)*A_1*exp(-1*lamb_1^2*J$21)*cos(lamb_1*$C49/$C$5)+T_outlet</f>
        <v>#REF!</v>
      </c>
      <c r="K49" s="205" t="str">
        <f>(T_i-T_outlet)*A_1*exp(-1*lamb_1^2*K$21)*cos(lamb_1*$C49/$C$5)+T_outlet</f>
        <v>#REF!</v>
      </c>
      <c r="L49" s="205" t="str">
        <f>(T_i-T_outlet)*A_1*exp(-1*lamb_1^2*L$21)*cos(lamb_1*$C49/$C$5)+T_outlet</f>
        <v>#REF!</v>
      </c>
      <c r="M49" s="31" t="str">
        <f>(T_i-T_outlet)*A_1*exp(-1*lamb_1^2*M$21)*cos(lamb_1*$C49/$C$5)+T_outlet</f>
        <v>#REF!</v>
      </c>
    </row>
    <row r="50">
      <c r="B50" s="5">
        <v>9.0</v>
      </c>
      <c r="C50" s="218">
        <f t="shared" si="7"/>
        <v>3.558680587</v>
      </c>
      <c r="D50" s="31" t="str">
        <f>(T_i-T_outlet)*A_1*exp(-1*lamb_1^2*$D$21)*cos(lamb_1*$C50/$C$5)+T_outlet</f>
        <v>#REF!</v>
      </c>
      <c r="E50" s="31" t="str">
        <f>(T_i-T_outlet)*A_1*exp(-1*lamb_1^2*E$21)*cos(lamb_1*$C50/$C$5)+T_outlet</f>
        <v>#REF!</v>
      </c>
      <c r="F50" s="31" t="str">
        <f>(T_i-T_outlet)*A_1*exp(-1*lamb_1^2*F$21)*cos(lamb_1*$C50/$C$5)+T_outlet</f>
        <v>#REF!</v>
      </c>
      <c r="G50" s="31" t="str">
        <f>(T_i-T_outlet)*A_1*exp(-1*lamb_1^2*G$21)*cos(lamb_1*$C50/$C$5)+T_outlet</f>
        <v>#REF!</v>
      </c>
      <c r="H50" s="31" t="str">
        <f>(T_i-T_outlet)*A_1*exp(-1*lamb_1^2*H$21)*cos(lamb_1*$C50/$C$5)+T_outlet</f>
        <v>#REF!</v>
      </c>
      <c r="I50" s="31" t="str">
        <f>(T_i-T_outlet)*A_1*exp(-1*lamb_1^2*I$21)*cos(lamb_1*$C50/$C$5)+T_outlet</f>
        <v>#REF!</v>
      </c>
      <c r="J50" s="31" t="str">
        <f>(T_i-T_outlet)*A_1*exp(-1*lamb_1^2*J$21)*cos(lamb_1*$C50/$C$5)+T_outlet</f>
        <v>#REF!</v>
      </c>
      <c r="K50" s="205" t="str">
        <f>(T_i-T_outlet)*A_1*exp(-1*lamb_1^2*K$21)*cos(lamb_1*$C50/$C$5)+T_outlet</f>
        <v>#REF!</v>
      </c>
      <c r="L50" s="205" t="str">
        <f>(T_i-T_outlet)*A_1*exp(-1*lamb_1^2*L$21)*cos(lamb_1*$C50/$C$5)+T_outlet</f>
        <v>#REF!</v>
      </c>
      <c r="M50" s="31" t="str">
        <f>(T_i-T_outlet)*A_1*exp(-1*lamb_1^2*M$21)*cos(lamb_1*$C50/$C$5)+T_outlet</f>
        <v>#REF!</v>
      </c>
    </row>
    <row r="51">
      <c r="B51" s="251">
        <v>10.0</v>
      </c>
      <c r="C51" s="252">
        <f t="shared" si="7"/>
        <v>3.954089541</v>
      </c>
      <c r="D51" s="31" t="str">
        <f>(T_i-T_outlet)*A_1*exp(-1*lamb_1^2*$D$21)*cos(lamb_1*$C51/$C$5)+T_outlet</f>
        <v>#REF!</v>
      </c>
      <c r="E51" s="31" t="str">
        <f>(T_i-T_outlet)*A_1*exp(-1*lamb_1^2*E$21)*cos(lamb_1*$C51/$C$5)+T_outlet</f>
        <v>#REF!</v>
      </c>
      <c r="F51" s="31" t="str">
        <f>(T_i-T_outlet)*A_1*exp(-1*lamb_1^2*F$21)*cos(lamb_1*$C51/$C$5)+T_outlet</f>
        <v>#REF!</v>
      </c>
      <c r="G51" s="31" t="str">
        <f>(T_i-T_outlet)*A_1*exp(-1*lamb_1^2*G$21)*cos(lamb_1*$C51/$C$5)+T_outlet</f>
        <v>#REF!</v>
      </c>
      <c r="H51" s="31" t="str">
        <f>(T_i-T_outlet)*A_1*exp(-1*lamb_1^2*H$21)*cos(lamb_1*$C51/$C$5)+T_outlet</f>
        <v>#REF!</v>
      </c>
      <c r="I51" s="31" t="str">
        <f>(T_i-T_outlet)*A_1*exp(-1*lamb_1^2*I$21)*cos(lamb_1*$C51/$C$5)+T_outlet</f>
        <v>#REF!</v>
      </c>
      <c r="J51" s="31" t="str">
        <f>(T_i-T_outlet)*A_1*exp(-1*lamb_1^2*J$21)*cos(lamb_1*$C51/$C$5)+T_outlet</f>
        <v>#REF!</v>
      </c>
      <c r="K51" s="205" t="str">
        <f>(T_i-T_outlet)*A_1*exp(-1*lamb_1^2*K$21)*cos(lamb_1*$C51/$C$5)+T_outlet</f>
        <v>#REF!</v>
      </c>
      <c r="L51" s="205" t="str">
        <f>(T_i-T_outlet)*A_1*exp(-1*lamb_1^2*L$21)*cos(lamb_1*$C51/$C$5)+T_outlet</f>
        <v>#REF!</v>
      </c>
      <c r="M51" s="31" t="str">
        <f>(T_i-T_outlet)*A_1*exp(-1*lamb_1^2*M$21)*cos(lamb_1*$C51/$C$5)+T_outlet</f>
        <v>#REF!</v>
      </c>
    </row>
    <row r="54">
      <c r="C54" s="5" t="s">
        <v>423</v>
      </c>
      <c r="D54" s="5" t="s">
        <v>430</v>
      </c>
      <c r="E54" s="5" t="s">
        <v>431</v>
      </c>
    </row>
    <row r="55">
      <c r="C55" s="5">
        <v>0.0</v>
      </c>
      <c r="D55" s="31">
        <v>-4.882750692817156</v>
      </c>
      <c r="E55" s="40">
        <v>-4.9309797157937165</v>
      </c>
    </row>
    <row r="56">
      <c r="B56" s="256"/>
      <c r="C56" s="5">
        <v>5.0</v>
      </c>
      <c r="D56" s="31">
        <v>-2.831365421811581</v>
      </c>
      <c r="E56" s="40">
        <v>-3.7234058902137526</v>
      </c>
    </row>
    <row r="57">
      <c r="B57" s="218"/>
      <c r="C57" s="5">
        <v>10.0</v>
      </c>
      <c r="D57" s="31">
        <v>-1.2819850039032659</v>
      </c>
      <c r="E57" s="40">
        <v>-2.8113435560550006</v>
      </c>
    </row>
    <row r="58">
      <c r="B58" s="218"/>
      <c r="C58" s="5">
        <v>15.0</v>
      </c>
      <c r="D58" s="31">
        <v>-0.11176129540359314</v>
      </c>
      <c r="E58" s="40">
        <v>-2.1224766033520512</v>
      </c>
    </row>
    <row r="59">
      <c r="B59" s="218"/>
      <c r="C59" s="5">
        <v>20.0</v>
      </c>
      <c r="D59" s="31">
        <v>0.7720910575153019</v>
      </c>
      <c r="E59" s="40">
        <v>-1.6021857627441671</v>
      </c>
    </row>
    <row r="60">
      <c r="B60" s="218"/>
      <c r="C60" s="5">
        <v>30.0</v>
      </c>
      <c r="D60" s="31">
        <v>1.9438497418093288</v>
      </c>
      <c r="E60" s="40">
        <v>-0.9124152271704816</v>
      </c>
    </row>
    <row r="61">
      <c r="B61" s="218"/>
      <c r="C61" s="5">
        <v>90.0</v>
      </c>
      <c r="D61" s="31">
        <v>3.44637324886322</v>
      </c>
      <c r="E61" s="40">
        <v>-0.027935804859195237</v>
      </c>
    </row>
    <row r="62">
      <c r="C62" s="5">
        <v>120.0</v>
      </c>
      <c r="D62" s="31">
        <v>3.490044880769396</v>
      </c>
      <c r="E62" s="40">
        <v>-0.002227947658675801</v>
      </c>
    </row>
    <row r="63">
      <c r="C63" s="5">
        <v>150.0</v>
      </c>
      <c r="D63" s="31">
        <v>3.4981519596694794</v>
      </c>
      <c r="E63" s="40">
        <v>0.0025443866366046397</v>
      </c>
    </row>
    <row r="64">
      <c r="C64" s="5">
        <v>180.0</v>
      </c>
      <c r="D64" s="31">
        <v>3.4996569349915236</v>
      </c>
      <c r="E64" s="40">
        <v>0.0034303093507486136</v>
      </c>
    </row>
    <row r="66">
      <c r="A66" s="251"/>
    </row>
    <row r="68">
      <c r="C68" s="40"/>
      <c r="D68" s="40"/>
      <c r="E68" s="40"/>
      <c r="F68" s="40"/>
      <c r="G68" s="40"/>
      <c r="H68" s="40"/>
      <c r="I68" s="40"/>
      <c r="J68" s="40"/>
      <c r="K68" s="40"/>
      <c r="L68" s="40"/>
      <c r="M68" s="40"/>
    </row>
    <row r="69">
      <c r="D69" s="40"/>
      <c r="G69" s="40"/>
      <c r="H69" s="40"/>
      <c r="I69" s="40"/>
      <c r="J69" s="40"/>
      <c r="K69" s="40"/>
      <c r="L69" s="40"/>
    </row>
  </sheetData>
  <mergeCells count="1">
    <mergeCell ref="B2:O2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/>
  </sheetViews>
  <sheetFormatPr customHeight="1" defaultColWidth="12.63" defaultRowHeight="15.75"/>
  <cols>
    <col customWidth="1" min="2" max="2" width="24.75"/>
  </cols>
  <sheetData>
    <row r="3">
      <c r="B3" s="36" t="s">
        <v>75</v>
      </c>
    </row>
    <row r="5">
      <c r="B5" s="5" t="s">
        <v>76</v>
      </c>
      <c r="C5" s="31">
        <f>251.7-273</f>
        <v>-21.3</v>
      </c>
      <c r="O5" s="37"/>
      <c r="P5" s="38" t="s">
        <v>77</v>
      </c>
      <c r="Q5" s="37"/>
      <c r="R5" s="37"/>
      <c r="S5" s="37"/>
      <c r="T5" s="37"/>
    </row>
    <row r="6">
      <c r="B6" s="5" t="s">
        <v>78</v>
      </c>
      <c r="C6" s="31">
        <f>253-273</f>
        <v>-20</v>
      </c>
      <c r="I6" s="37"/>
      <c r="J6" s="38" t="s">
        <v>79</v>
      </c>
      <c r="K6" s="37"/>
      <c r="L6" s="39" t="s">
        <v>80</v>
      </c>
      <c r="M6" s="37"/>
    </row>
    <row r="7">
      <c r="B7" s="5" t="s">
        <v>81</v>
      </c>
      <c r="C7" s="5">
        <v>2.1</v>
      </c>
    </row>
    <row r="8">
      <c r="B8" s="5" t="s">
        <v>82</v>
      </c>
      <c r="C8" s="5">
        <v>0.04</v>
      </c>
    </row>
    <row r="9">
      <c r="B9" s="5" t="s">
        <v>83</v>
      </c>
      <c r="C9" s="40">
        <f>C8^2*pi()/4</f>
        <v>0.001256637061</v>
      </c>
    </row>
    <row r="10">
      <c r="B10" s="5" t="s">
        <v>84</v>
      </c>
      <c r="C10" s="41">
        <f>C9*C7</f>
        <v>0.002638937829</v>
      </c>
    </row>
    <row r="13">
      <c r="B13" s="5" t="s">
        <v>85</v>
      </c>
    </row>
    <row r="14">
      <c r="B14" s="5" t="s">
        <v>86</v>
      </c>
      <c r="C14" s="5">
        <v>2.0</v>
      </c>
    </row>
    <row r="15">
      <c r="B15" s="5" t="s">
        <v>87</v>
      </c>
      <c r="C15" s="41">
        <f>'STEP 1'!B24*'STEP 1'!B25*'STEP 1'!B26</f>
        <v>0.1031237938</v>
      </c>
    </row>
    <row r="16">
      <c r="B16" s="5" t="s">
        <v>88</v>
      </c>
      <c r="C16" s="42">
        <f>C15*C14/60</f>
        <v>0.003437459792</v>
      </c>
    </row>
  </sheetData>
  <hyperlinks>
    <hyperlink r:id="rId1" ref="L6"/>
  </hyperlin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1" max="1" width="25.13"/>
    <col customWidth="1" min="2" max="2" width="12.75"/>
    <col customWidth="1" min="5" max="5" width="25.75"/>
  </cols>
  <sheetData>
    <row r="3">
      <c r="B3" s="43" t="s">
        <v>89</v>
      </c>
    </row>
    <row r="7">
      <c r="A7" s="5" t="s">
        <v>90</v>
      </c>
    </row>
    <row r="8">
      <c r="A8" s="44" t="s">
        <v>91</v>
      </c>
      <c r="B8" s="45"/>
      <c r="E8" s="44" t="s">
        <v>92</v>
      </c>
      <c r="F8" s="45"/>
      <c r="G8" s="45"/>
    </row>
    <row r="9">
      <c r="A9" s="9" t="s">
        <v>93</v>
      </c>
      <c r="B9" s="46">
        <v>31.75</v>
      </c>
      <c r="E9" s="47" t="s">
        <v>94</v>
      </c>
      <c r="F9" s="47">
        <v>12.0</v>
      </c>
      <c r="G9" s="48"/>
    </row>
    <row r="10">
      <c r="A10" s="9" t="s">
        <v>95</v>
      </c>
      <c r="B10" s="46">
        <v>18.0</v>
      </c>
      <c r="E10" s="47" t="s">
        <v>96</v>
      </c>
      <c r="F10" s="48">
        <f>F9*'STEP 0'!F32</f>
        <v>0.0003552</v>
      </c>
      <c r="G10" s="48"/>
    </row>
    <row r="11">
      <c r="A11" s="9" t="s">
        <v>97</v>
      </c>
      <c r="B11" s="46">
        <v>18.0</v>
      </c>
      <c r="E11" s="47" t="s">
        <v>98</v>
      </c>
      <c r="F11" s="49">
        <f>F10*dens_wat</f>
        <v>0.35456064</v>
      </c>
      <c r="G11" s="47" t="s">
        <v>6</v>
      </c>
    </row>
    <row r="12">
      <c r="A12" s="9" t="s">
        <v>99</v>
      </c>
      <c r="B12" s="50">
        <f>B9*m_per_in</f>
        <v>0.80645</v>
      </c>
      <c r="E12" s="51" t="s">
        <v>100</v>
      </c>
      <c r="F12" s="52">
        <f>F11*cp_wat*(T_R-T_amb)</f>
        <v>-27.14771544</v>
      </c>
      <c r="G12" s="51" t="s">
        <v>101</v>
      </c>
      <c r="H12" s="5" t="s">
        <v>102</v>
      </c>
    </row>
    <row r="13">
      <c r="A13" s="9" t="s">
        <v>103</v>
      </c>
      <c r="B13" s="50">
        <f>B10*m_per_in</f>
        <v>0.4572</v>
      </c>
    </row>
    <row r="14">
      <c r="A14" s="9" t="s">
        <v>104</v>
      </c>
      <c r="B14" s="50">
        <f>B11*m_per_in</f>
        <v>0.4572</v>
      </c>
    </row>
    <row r="15">
      <c r="A15" s="9" t="s">
        <v>105</v>
      </c>
      <c r="B15" s="53">
        <f t="shared" ref="B15:B16" si="1">B12*B13</f>
        <v>0.36870894</v>
      </c>
      <c r="C15" s="5" t="s">
        <v>106</v>
      </c>
      <c r="E15" s="44" t="s">
        <v>107</v>
      </c>
    </row>
    <row r="16">
      <c r="A16" s="9" t="s">
        <v>108</v>
      </c>
      <c r="B16" s="53">
        <f t="shared" si="1"/>
        <v>0.20903184</v>
      </c>
      <c r="C16" s="5" t="s">
        <v>109</v>
      </c>
      <c r="E16" s="5" t="s">
        <v>110</v>
      </c>
      <c r="F16" s="31">
        <f>average(T_R_K, T_freeze_K)</f>
        <v>274.35</v>
      </c>
    </row>
    <row r="17">
      <c r="A17" s="9" t="s">
        <v>111</v>
      </c>
      <c r="B17" s="53">
        <f>B12*B14</f>
        <v>0.36870894</v>
      </c>
      <c r="C17" s="5" t="s">
        <v>112</v>
      </c>
      <c r="E17" s="5" t="s">
        <v>113</v>
      </c>
      <c r="F17" s="54">
        <f>P_atm/(R_air*F16)</f>
        <v>1.286855405</v>
      </c>
      <c r="G17" s="5" t="s">
        <v>114</v>
      </c>
    </row>
    <row r="18">
      <c r="A18" s="55" t="s">
        <v>115</v>
      </c>
      <c r="B18" s="56">
        <f>2*B15+2*B17+B16</f>
        <v>1.6838676</v>
      </c>
      <c r="C18" s="5" t="s">
        <v>116</v>
      </c>
      <c r="E18" s="5" t="s">
        <v>117</v>
      </c>
      <c r="F18" s="31">
        <f>kin_vis_air*dens_air</f>
        <v>0.00001878808892</v>
      </c>
    </row>
    <row r="20">
      <c r="A20" s="44" t="s">
        <v>118</v>
      </c>
      <c r="B20" s="45"/>
    </row>
    <row r="21">
      <c r="A21" s="9" t="s">
        <v>93</v>
      </c>
      <c r="B21" s="47">
        <v>29.0</v>
      </c>
    </row>
    <row r="22">
      <c r="A22" s="9" t="s">
        <v>95</v>
      </c>
      <c r="B22" s="47">
        <v>15.5</v>
      </c>
      <c r="E22" s="5" t="s">
        <v>119</v>
      </c>
      <c r="F22" s="31">
        <f>0.3+1/8</f>
        <v>0.425</v>
      </c>
    </row>
    <row r="23">
      <c r="A23" s="9" t="s">
        <v>97</v>
      </c>
      <c r="B23" s="47">
        <v>14.0</v>
      </c>
      <c r="E23" s="5" t="s">
        <v>120</v>
      </c>
      <c r="F23" s="31">
        <f>F22*m_per_in</f>
        <v>0.010795</v>
      </c>
    </row>
    <row r="24">
      <c r="A24" s="9" t="s">
        <v>99</v>
      </c>
      <c r="B24" s="48">
        <f>B21*m_per_in</f>
        <v>0.7366</v>
      </c>
      <c r="E24" s="5" t="s">
        <v>121</v>
      </c>
      <c r="F24" s="31">
        <f>14*7</f>
        <v>98</v>
      </c>
    </row>
    <row r="25">
      <c r="A25" s="9" t="s">
        <v>103</v>
      </c>
      <c r="B25" s="48">
        <f>B22*m_per_in</f>
        <v>0.3937</v>
      </c>
      <c r="E25" s="5" t="s">
        <v>122</v>
      </c>
      <c r="F25" s="31">
        <f>F24*m_per_in^2</f>
        <v>0.06322568</v>
      </c>
    </row>
    <row r="26">
      <c r="A26" s="9" t="s">
        <v>104</v>
      </c>
      <c r="B26" s="48">
        <f>B23*m_per_in</f>
        <v>0.3556</v>
      </c>
      <c r="E26" s="5" t="s">
        <v>123</v>
      </c>
      <c r="F26" s="54">
        <f>'STEP 2'!J5*1000*F23/(k_alum*F25)</f>
        <v>0.03638753516</v>
      </c>
    </row>
    <row r="27">
      <c r="A27" s="9" t="s">
        <v>105</v>
      </c>
      <c r="B27" s="48">
        <f>B24*B25</f>
        <v>0.28999942</v>
      </c>
      <c r="C27" s="5" t="s">
        <v>106</v>
      </c>
    </row>
    <row r="28">
      <c r="A28" s="9" t="s">
        <v>108</v>
      </c>
      <c r="B28" s="48">
        <f>B26*B25</f>
        <v>0.13999972</v>
      </c>
      <c r="C28" s="5" t="s">
        <v>109</v>
      </c>
    </row>
    <row r="29">
      <c r="A29" s="9" t="s">
        <v>111</v>
      </c>
      <c r="B29" s="48">
        <f>B24*B26</f>
        <v>0.26193496</v>
      </c>
      <c r="C29" s="5" t="s">
        <v>112</v>
      </c>
    </row>
    <row r="30">
      <c r="A30" s="51" t="s">
        <v>124</v>
      </c>
      <c r="B30" s="57">
        <f>2*B27+2*B29+B28</f>
        <v>1.24386848</v>
      </c>
      <c r="C30" s="5" t="s">
        <v>116</v>
      </c>
    </row>
    <row r="32">
      <c r="A32" s="44" t="s">
        <v>125</v>
      </c>
    </row>
    <row r="33">
      <c r="A33" s="9" t="s">
        <v>126</v>
      </c>
      <c r="B33" s="35">
        <v>0.05</v>
      </c>
      <c r="C33" s="26"/>
    </row>
    <row r="34">
      <c r="A34" s="9" t="s">
        <v>127</v>
      </c>
      <c r="B34" s="35">
        <v>0.36</v>
      </c>
      <c r="C34" s="26"/>
    </row>
    <row r="35">
      <c r="A35" s="9" t="s">
        <v>128</v>
      </c>
      <c r="B35" s="35">
        <v>10.0</v>
      </c>
      <c r="C35" s="26"/>
    </row>
    <row r="36">
      <c r="A36" s="9" t="s">
        <v>129</v>
      </c>
      <c r="B36" s="35">
        <v>10.0</v>
      </c>
      <c r="C36" s="26"/>
      <c r="D36" s="26"/>
    </row>
    <row r="37">
      <c r="A37" s="9" t="s">
        <v>130</v>
      </c>
      <c r="B37" s="53">
        <f>1/(B35*B30)</f>
        <v>0.08039435166</v>
      </c>
      <c r="C37" s="58" t="s">
        <v>131</v>
      </c>
      <c r="D37" s="26"/>
    </row>
    <row r="38">
      <c r="A38" s="9" t="s">
        <v>132</v>
      </c>
      <c r="B38" s="53">
        <f>B33/B34*B18</f>
        <v>0.2338705</v>
      </c>
      <c r="C38" s="58" t="s">
        <v>133</v>
      </c>
      <c r="D38" s="26"/>
    </row>
    <row r="39">
      <c r="A39" s="9" t="s">
        <v>134</v>
      </c>
      <c r="B39" s="53">
        <f>1/(B36*B18)</f>
        <v>0.05938709195</v>
      </c>
      <c r="C39" s="58" t="s">
        <v>135</v>
      </c>
    </row>
    <row r="40">
      <c r="A40" s="9" t="s">
        <v>136</v>
      </c>
      <c r="B40" s="53">
        <f>B37+B38+B39</f>
        <v>0.3736519436</v>
      </c>
      <c r="C40" s="26"/>
    </row>
    <row r="41">
      <c r="A41" s="9" t="s">
        <v>137</v>
      </c>
      <c r="B41" s="59">
        <f>(T_R - T_amb)/B40</f>
        <v>-48.97605997</v>
      </c>
      <c r="C41" s="58" t="s">
        <v>138</v>
      </c>
    </row>
    <row r="42">
      <c r="A42" s="60" t="s">
        <v>139</v>
      </c>
      <c r="B42" s="57">
        <f>B41/1000</f>
        <v>-0.04897605997</v>
      </c>
      <c r="C42" s="58" t="s">
        <v>140</v>
      </c>
    </row>
  </sheetData>
  <mergeCells count="2">
    <mergeCell ref="E15:G15"/>
    <mergeCell ref="A32:B32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</sheetPr>
  <sheetViews>
    <sheetView workbookViewId="0"/>
  </sheetViews>
  <sheetFormatPr customHeight="1" defaultColWidth="12.63" defaultRowHeight="15.75"/>
  <cols>
    <col customWidth="1" min="9" max="9" width="37.88"/>
    <col customWidth="1" min="10" max="10" width="11.63"/>
    <col customWidth="1" min="16" max="16" width="39.0"/>
  </cols>
  <sheetData>
    <row r="2">
      <c r="B2" s="36" t="s">
        <v>141</v>
      </c>
    </row>
    <row r="3">
      <c r="B3" s="61" t="s">
        <v>142</v>
      </c>
      <c r="C3" s="62" t="s">
        <v>143</v>
      </c>
      <c r="D3" s="62" t="s">
        <v>144</v>
      </c>
      <c r="E3" s="62" t="s">
        <v>145</v>
      </c>
      <c r="F3" s="63" t="s">
        <v>146</v>
      </c>
      <c r="G3" s="63" t="s">
        <v>147</v>
      </c>
      <c r="H3" s="64" t="s">
        <v>148</v>
      </c>
      <c r="I3" s="65" t="s">
        <v>149</v>
      </c>
      <c r="J3" s="66"/>
      <c r="K3" s="66"/>
      <c r="L3" s="66"/>
      <c r="M3" s="66"/>
    </row>
    <row r="4">
      <c r="B4" s="67">
        <v>0.0</v>
      </c>
      <c r="C4" s="68">
        <f>Q_dot_walls*-1</f>
        <v>0.04897605997</v>
      </c>
      <c r="D4" s="69"/>
      <c r="E4" s="69">
        <f>D4*Q_load_can*-1</f>
        <v>0</v>
      </c>
      <c r="F4" s="70">
        <f t="shared" ref="F4:F99" si="1">E4+C4/15/60*3600</f>
        <v>0.1959042399</v>
      </c>
      <c r="G4" s="68">
        <f t="shared" ref="G4:G99" si="2">C4+E4/0.25/3600</f>
        <v>0.04897605997</v>
      </c>
      <c r="H4" s="69"/>
      <c r="I4" s="47" t="s">
        <v>150</v>
      </c>
      <c r="J4" s="49">
        <f>sum(F72:F84)</f>
        <v>545.5010638</v>
      </c>
      <c r="K4" s="48"/>
      <c r="L4" s="48"/>
      <c r="M4" s="48"/>
    </row>
    <row r="5">
      <c r="B5" s="67">
        <v>0.010416666666666666</v>
      </c>
      <c r="C5" s="68">
        <f>Q_dot_walls*-1</f>
        <v>0.04897605997</v>
      </c>
      <c r="D5" s="69"/>
      <c r="E5" s="69">
        <f>D5*Q_load_can*-1</f>
        <v>0</v>
      </c>
      <c r="F5" s="70">
        <f t="shared" si="1"/>
        <v>0.1959042399</v>
      </c>
      <c r="G5" s="68">
        <f t="shared" si="2"/>
        <v>0.04897605997</v>
      </c>
      <c r="H5" s="69"/>
      <c r="I5" s="47" t="s">
        <v>151</v>
      </c>
      <c r="J5" s="71">
        <f>J4/Pass_Cool_duration</f>
        <v>0.05050935776</v>
      </c>
      <c r="K5" s="47" t="s">
        <v>152</v>
      </c>
      <c r="L5" s="48"/>
      <c r="M5" s="48"/>
    </row>
    <row r="6">
      <c r="B6" s="67">
        <v>0.020833333333333332</v>
      </c>
      <c r="C6" s="68">
        <f>Q_dot_walls*-1</f>
        <v>0.04897605997</v>
      </c>
      <c r="D6" s="69"/>
      <c r="E6" s="69">
        <f>D6*Q_load_can*-1</f>
        <v>0</v>
      </c>
      <c r="F6" s="70">
        <f t="shared" si="1"/>
        <v>0.1959042399</v>
      </c>
      <c r="G6" s="68">
        <f t="shared" si="2"/>
        <v>0.04897605997</v>
      </c>
      <c r="H6" s="69"/>
      <c r="I6" s="47" t="s">
        <v>153</v>
      </c>
      <c r="J6" s="71">
        <f>max(G72:G84)</f>
        <v>0.1997967013</v>
      </c>
      <c r="K6" s="48"/>
      <c r="L6" s="48"/>
      <c r="M6" s="48"/>
    </row>
    <row r="7">
      <c r="B7" s="67">
        <v>0.03125</v>
      </c>
      <c r="C7" s="68">
        <f>Q_dot_walls*-1</f>
        <v>0.04897605997</v>
      </c>
      <c r="D7" s="69"/>
      <c r="E7" s="69">
        <f>D7*Q_load_can*-1</f>
        <v>0</v>
      </c>
      <c r="F7" s="70">
        <f t="shared" si="1"/>
        <v>0.1959042399</v>
      </c>
      <c r="G7" s="68">
        <f t="shared" si="2"/>
        <v>0.04897605997</v>
      </c>
      <c r="H7" s="69"/>
      <c r="I7" s="51" t="s">
        <v>154</v>
      </c>
      <c r="J7" s="72"/>
      <c r="K7" s="72"/>
      <c r="L7" s="72"/>
      <c r="M7" s="72"/>
    </row>
    <row r="8">
      <c r="B8" s="67">
        <v>0.041666666666666664</v>
      </c>
      <c r="C8" s="68">
        <f>Q_dot_walls*-1</f>
        <v>0.04897605997</v>
      </c>
      <c r="D8" s="69"/>
      <c r="E8" s="69">
        <f>D8*Q_load_can*-1</f>
        <v>0</v>
      </c>
      <c r="F8" s="70">
        <f t="shared" si="1"/>
        <v>0.1959042399</v>
      </c>
      <c r="G8" s="68">
        <f t="shared" si="2"/>
        <v>0.04897605997</v>
      </c>
      <c r="H8" s="69"/>
      <c r="I8" s="47" t="s">
        <v>155</v>
      </c>
      <c r="J8" s="49">
        <f>J4/Latent_ice</f>
        <v>1.633236718</v>
      </c>
      <c r="K8" s="47" t="s">
        <v>156</v>
      </c>
      <c r="L8" s="48"/>
      <c r="M8" s="48"/>
      <c r="P8" s="73" t="s">
        <v>150</v>
      </c>
      <c r="Q8" s="74">
        <v>545.5010638188279</v>
      </c>
    </row>
    <row r="9">
      <c r="B9" s="67">
        <v>0.052083333333333336</v>
      </c>
      <c r="C9" s="68">
        <f>Q_dot_walls*-1</f>
        <v>0.04897605997</v>
      </c>
      <c r="D9" s="69"/>
      <c r="E9" s="69">
        <f>D9*Q_load_can*-1</f>
        <v>0</v>
      </c>
      <c r="F9" s="70">
        <f t="shared" si="1"/>
        <v>0.1959042399</v>
      </c>
      <c r="G9" s="68">
        <f t="shared" si="2"/>
        <v>0.04897605997</v>
      </c>
      <c r="H9" s="69"/>
      <c r="I9" s="47" t="s">
        <v>157</v>
      </c>
      <c r="J9" s="75">
        <v>1.0</v>
      </c>
      <c r="K9" s="48"/>
      <c r="L9" s="48"/>
      <c r="M9" s="48"/>
      <c r="P9" s="73" t="s">
        <v>151</v>
      </c>
      <c r="Q9" s="76">
        <v>0.050509357761002585</v>
      </c>
    </row>
    <row r="10">
      <c r="B10" s="67">
        <v>0.0625</v>
      </c>
      <c r="C10" s="68">
        <f>Q_dot_walls*-1</f>
        <v>0.04897605997</v>
      </c>
      <c r="D10" s="69"/>
      <c r="E10" s="69">
        <f>D10*Q_load_can*-1</f>
        <v>0</v>
      </c>
      <c r="F10" s="70">
        <f t="shared" si="1"/>
        <v>0.1959042399</v>
      </c>
      <c r="G10" s="68">
        <f t="shared" si="2"/>
        <v>0.04897605997</v>
      </c>
      <c r="H10" s="69"/>
      <c r="I10" s="47" t="s">
        <v>158</v>
      </c>
      <c r="J10" s="77">
        <f>J9/m_per_in^3</f>
        <v>61023.74409</v>
      </c>
      <c r="K10" s="49">
        <f>J10/12^3</f>
        <v>35.31466672</v>
      </c>
      <c r="L10" s="48"/>
      <c r="M10" s="48"/>
      <c r="P10" s="73" t="s">
        <v>153</v>
      </c>
      <c r="Q10" s="76">
        <v>0.19979670127998203</v>
      </c>
    </row>
    <row r="11">
      <c r="B11" s="67">
        <v>0.07291666666666667</v>
      </c>
      <c r="C11" s="68">
        <f>Q_dot_walls*-1</f>
        <v>0.04897605997</v>
      </c>
      <c r="D11" s="69"/>
      <c r="E11" s="69">
        <f>D11*Q_load_can*-1</f>
        <v>0</v>
      </c>
      <c r="F11" s="70">
        <f t="shared" si="1"/>
        <v>0.1959042399</v>
      </c>
      <c r="G11" s="68">
        <f t="shared" si="2"/>
        <v>0.04897605997</v>
      </c>
      <c r="H11" s="69"/>
      <c r="I11" s="51" t="s">
        <v>159</v>
      </c>
      <c r="J11" s="72"/>
      <c r="K11" s="72"/>
      <c r="L11" s="72"/>
      <c r="M11" s="72"/>
    </row>
    <row r="12">
      <c r="B12" s="67">
        <v>0.08333333333333333</v>
      </c>
      <c r="C12" s="68">
        <f>Q_dot_walls*-1</f>
        <v>0.04897605997</v>
      </c>
      <c r="D12" s="69"/>
      <c r="E12" s="69">
        <f>D12*Q_load_can*-1</f>
        <v>0</v>
      </c>
      <c r="F12" s="70">
        <f t="shared" si="1"/>
        <v>0.1959042399</v>
      </c>
      <c r="G12" s="68">
        <f t="shared" si="2"/>
        <v>0.04897605997</v>
      </c>
      <c r="H12" s="69"/>
      <c r="I12" s="47" t="s">
        <v>160</v>
      </c>
      <c r="J12" s="71">
        <f>J4*kWh_per_kJ</f>
        <v>0.1515281945</v>
      </c>
      <c r="K12" s="48"/>
      <c r="L12" s="48"/>
      <c r="M12" s="48"/>
    </row>
    <row r="13">
      <c r="B13" s="67">
        <v>0.09375</v>
      </c>
      <c r="C13" s="68">
        <f>Q_dot_walls*-1</f>
        <v>0.04897605997</v>
      </c>
      <c r="D13" s="69"/>
      <c r="E13" s="69">
        <f>D13*Q_load_can*-1</f>
        <v>0</v>
      </c>
      <c r="F13" s="70">
        <f t="shared" si="1"/>
        <v>0.1959042399</v>
      </c>
      <c r="G13" s="68">
        <f t="shared" si="2"/>
        <v>0.04897605997</v>
      </c>
      <c r="H13" s="69"/>
      <c r="I13" s="47" t="s">
        <v>161</v>
      </c>
      <c r="J13" s="78">
        <f>5*J12*52</f>
        <v>39.39733057</v>
      </c>
      <c r="K13" s="48"/>
      <c r="L13" s="48"/>
      <c r="M13" s="48"/>
    </row>
    <row r="14">
      <c r="B14" s="67">
        <v>0.10416666666666667</v>
      </c>
      <c r="C14" s="68">
        <f>Q_dot_walls*-1</f>
        <v>0.04897605997</v>
      </c>
      <c r="D14" s="69"/>
      <c r="E14" s="69">
        <f>D14*Q_load_can*-1</f>
        <v>0</v>
      </c>
      <c r="F14" s="70">
        <f t="shared" si="1"/>
        <v>0.1959042399</v>
      </c>
      <c r="G14" s="68">
        <f t="shared" si="2"/>
        <v>0.04897605997</v>
      </c>
      <c r="H14" s="69"/>
      <c r="I14" s="47" t="s">
        <v>162</v>
      </c>
      <c r="J14" s="79">
        <f>J13*'STEP 0'!J13</f>
        <v>20.4866119</v>
      </c>
      <c r="K14" s="48"/>
      <c r="L14" s="48"/>
      <c r="M14" s="48"/>
    </row>
    <row r="15">
      <c r="B15" s="67">
        <v>0.11458333333333333</v>
      </c>
      <c r="C15" s="68">
        <f>Q_dot_walls*-1</f>
        <v>0.04897605997</v>
      </c>
      <c r="D15" s="69"/>
      <c r="E15" s="69">
        <f>D15*Q_load_can*-1</f>
        <v>0</v>
      </c>
      <c r="F15" s="70">
        <f t="shared" si="1"/>
        <v>0.1959042399</v>
      </c>
      <c r="G15" s="68">
        <f t="shared" si="2"/>
        <v>0.04897605997</v>
      </c>
      <c r="H15" s="69"/>
      <c r="I15" s="47" t="s">
        <v>163</v>
      </c>
      <c r="J15" s="79">
        <f>J13*'STEP 0'!J12</f>
        <v>17.1378388</v>
      </c>
      <c r="K15" s="48"/>
      <c r="L15" s="48"/>
      <c r="M15" s="48"/>
    </row>
    <row r="16">
      <c r="B16" s="67">
        <v>0.125</v>
      </c>
      <c r="C16" s="68">
        <f>Q_dot_walls*-1</f>
        <v>0.04897605997</v>
      </c>
      <c r="D16" s="69"/>
      <c r="E16" s="69">
        <f>D16*Q_load_can*-1</f>
        <v>0</v>
      </c>
      <c r="F16" s="70">
        <f t="shared" si="1"/>
        <v>0.1959042399</v>
      </c>
      <c r="G16" s="68">
        <f t="shared" si="2"/>
        <v>0.04897605997</v>
      </c>
      <c r="H16" s="69"/>
      <c r="I16" s="47" t="s">
        <v>164</v>
      </c>
      <c r="J16" s="79">
        <f>J14-J15</f>
        <v>3.348773099</v>
      </c>
      <c r="K16" s="48"/>
      <c r="L16" s="48"/>
      <c r="M16" s="48"/>
    </row>
    <row r="17">
      <c r="B17" s="67">
        <v>0.13541666666666666</v>
      </c>
      <c r="C17" s="68">
        <f>Q_dot_walls*-1</f>
        <v>0.04897605997</v>
      </c>
      <c r="D17" s="69"/>
      <c r="E17" s="69">
        <f>D17*Q_load_can*-1</f>
        <v>0</v>
      </c>
      <c r="F17" s="70">
        <f t="shared" si="1"/>
        <v>0.1959042399</v>
      </c>
      <c r="G17" s="68">
        <f t="shared" si="2"/>
        <v>0.04897605997</v>
      </c>
      <c r="H17" s="69"/>
      <c r="I17" s="47" t="s">
        <v>165</v>
      </c>
      <c r="J17" s="79">
        <f>J16-'Motor Calculations'!D7</f>
        <v>3.243981599</v>
      </c>
      <c r="K17" s="48"/>
      <c r="L17" s="48"/>
      <c r="M17" s="48"/>
    </row>
    <row r="18">
      <c r="B18" s="67">
        <v>0.14583333333333334</v>
      </c>
      <c r="C18" s="68">
        <f>Q_dot_walls*-1</f>
        <v>0.04897605997</v>
      </c>
      <c r="D18" s="69"/>
      <c r="E18" s="69">
        <f>D18*Q_load_can*-1</f>
        <v>0</v>
      </c>
      <c r="F18" s="70">
        <f t="shared" si="1"/>
        <v>0.1959042399</v>
      </c>
      <c r="G18" s="68">
        <f t="shared" si="2"/>
        <v>0.04897605997</v>
      </c>
      <c r="H18" s="69"/>
      <c r="I18" s="48"/>
      <c r="J18" s="48"/>
      <c r="K18" s="48"/>
      <c r="L18" s="48"/>
      <c r="M18" s="48"/>
    </row>
    <row r="19">
      <c r="B19" s="67">
        <v>0.15625</v>
      </c>
      <c r="C19" s="68">
        <f>Q_dot_walls*-1</f>
        <v>0.04897605997</v>
      </c>
      <c r="D19" s="69"/>
      <c r="E19" s="69">
        <f>D19*Q_load_can*-1</f>
        <v>0</v>
      </c>
      <c r="F19" s="70">
        <f t="shared" si="1"/>
        <v>0.1959042399</v>
      </c>
      <c r="G19" s="68">
        <f t="shared" si="2"/>
        <v>0.04897605997</v>
      </c>
      <c r="H19" s="69"/>
      <c r="I19" s="48"/>
      <c r="J19" s="48"/>
      <c r="K19" s="48"/>
      <c r="L19" s="48"/>
      <c r="M19" s="48"/>
    </row>
    <row r="20">
      <c r="B20" s="67">
        <v>0.16666666666666666</v>
      </c>
      <c r="C20" s="68">
        <f>Q_dot_walls*-1</f>
        <v>0.04897605997</v>
      </c>
      <c r="D20" s="69"/>
      <c r="E20" s="69">
        <f>D20*Q_load_can*-1</f>
        <v>0</v>
      </c>
      <c r="F20" s="70">
        <f t="shared" si="1"/>
        <v>0.1959042399</v>
      </c>
      <c r="G20" s="68">
        <f t="shared" si="2"/>
        <v>0.04897605997</v>
      </c>
      <c r="H20" s="69"/>
      <c r="I20" s="48"/>
      <c r="J20" s="48"/>
      <c r="K20" s="48"/>
      <c r="L20" s="48"/>
      <c r="M20" s="48"/>
    </row>
    <row r="21">
      <c r="B21" s="67">
        <v>0.17708333333333334</v>
      </c>
      <c r="C21" s="68">
        <f>Q_dot_walls*-1</f>
        <v>0.04897605997</v>
      </c>
      <c r="D21" s="69"/>
      <c r="E21" s="69">
        <f>D21*Q_load_can*-1</f>
        <v>0</v>
      </c>
      <c r="F21" s="70">
        <f t="shared" si="1"/>
        <v>0.1959042399</v>
      </c>
      <c r="G21" s="68">
        <f t="shared" si="2"/>
        <v>0.04897605997</v>
      </c>
      <c r="H21" s="69"/>
      <c r="I21" s="48"/>
      <c r="J21" s="48"/>
      <c r="K21" s="48"/>
      <c r="L21" s="48"/>
      <c r="M21" s="48"/>
    </row>
    <row r="22">
      <c r="B22" s="67">
        <v>0.1875</v>
      </c>
      <c r="C22" s="68">
        <f>Q_dot_walls*-1</f>
        <v>0.04897605997</v>
      </c>
      <c r="D22" s="69"/>
      <c r="E22" s="69">
        <f>D22*Q_load_can*-1</f>
        <v>0</v>
      </c>
      <c r="F22" s="70">
        <f t="shared" si="1"/>
        <v>0.1959042399</v>
      </c>
      <c r="G22" s="68">
        <f t="shared" si="2"/>
        <v>0.04897605997</v>
      </c>
      <c r="H22" s="69"/>
      <c r="I22" s="48"/>
      <c r="J22" s="48"/>
      <c r="K22" s="48"/>
      <c r="L22" s="48"/>
      <c r="M22" s="48"/>
    </row>
    <row r="23">
      <c r="B23" s="67">
        <v>0.19791666666666666</v>
      </c>
      <c r="C23" s="68">
        <f>Q_dot_walls*-1</f>
        <v>0.04897605997</v>
      </c>
      <c r="D23" s="69"/>
      <c r="E23" s="69">
        <f>D23*Q_load_can*-1</f>
        <v>0</v>
      </c>
      <c r="F23" s="70">
        <f t="shared" si="1"/>
        <v>0.1959042399</v>
      </c>
      <c r="G23" s="68">
        <f t="shared" si="2"/>
        <v>0.04897605997</v>
      </c>
      <c r="H23" s="69"/>
      <c r="I23" s="48"/>
      <c r="J23" s="48"/>
      <c r="K23" s="48"/>
      <c r="L23" s="48"/>
      <c r="M23" s="48"/>
    </row>
    <row r="24">
      <c r="B24" s="67">
        <v>0.20833333333333334</v>
      </c>
      <c r="C24" s="68">
        <f>Q_dot_walls*-1</f>
        <v>0.04897605997</v>
      </c>
      <c r="D24" s="69"/>
      <c r="E24" s="69">
        <f>D24*Q_load_can*-1</f>
        <v>0</v>
      </c>
      <c r="F24" s="70">
        <f t="shared" si="1"/>
        <v>0.1959042399</v>
      </c>
      <c r="G24" s="68">
        <f t="shared" si="2"/>
        <v>0.04897605997</v>
      </c>
      <c r="H24" s="69"/>
      <c r="I24" s="48"/>
      <c r="J24" s="48"/>
      <c r="K24" s="48"/>
      <c r="L24" s="48"/>
      <c r="M24" s="48"/>
    </row>
    <row r="25">
      <c r="B25" s="67">
        <v>0.21875</v>
      </c>
      <c r="C25" s="68">
        <f>Q_dot_walls*-1</f>
        <v>0.04897605997</v>
      </c>
      <c r="D25" s="69"/>
      <c r="E25" s="69">
        <f>D25*Q_load_can*-1</f>
        <v>0</v>
      </c>
      <c r="F25" s="70">
        <f t="shared" si="1"/>
        <v>0.1959042399</v>
      </c>
      <c r="G25" s="68">
        <f t="shared" si="2"/>
        <v>0.04897605997</v>
      </c>
      <c r="H25" s="69"/>
      <c r="I25" s="48"/>
      <c r="J25" s="48"/>
      <c r="K25" s="48"/>
      <c r="L25" s="48"/>
      <c r="M25" s="48"/>
    </row>
    <row r="26">
      <c r="B26" s="67">
        <v>0.22916666666666666</v>
      </c>
      <c r="C26" s="68">
        <f>Q_dot_walls*-1</f>
        <v>0.04897605997</v>
      </c>
      <c r="D26" s="69"/>
      <c r="E26" s="69">
        <f>D26*Q_load_can*-1</f>
        <v>0</v>
      </c>
      <c r="F26" s="70">
        <f t="shared" si="1"/>
        <v>0.1959042399</v>
      </c>
      <c r="G26" s="68">
        <f t="shared" si="2"/>
        <v>0.04897605997</v>
      </c>
      <c r="H26" s="69"/>
      <c r="I26" s="48"/>
      <c r="J26" s="48"/>
      <c r="K26" s="48"/>
      <c r="L26" s="48"/>
      <c r="M26" s="48"/>
    </row>
    <row r="27">
      <c r="B27" s="67">
        <v>0.23958333333333334</v>
      </c>
      <c r="C27" s="68">
        <f>Q_dot_walls*-1</f>
        <v>0.04897605997</v>
      </c>
      <c r="D27" s="69"/>
      <c r="E27" s="69">
        <f>D27*Q_load_can*-1</f>
        <v>0</v>
      </c>
      <c r="F27" s="70">
        <f t="shared" si="1"/>
        <v>0.1959042399</v>
      </c>
      <c r="G27" s="68">
        <f t="shared" si="2"/>
        <v>0.04897605997</v>
      </c>
      <c r="H27" s="69"/>
      <c r="I27" s="48"/>
      <c r="J27" s="48"/>
      <c r="K27" s="48"/>
      <c r="L27" s="48"/>
      <c r="M27" s="48"/>
    </row>
    <row r="28">
      <c r="B28" s="67">
        <v>0.25</v>
      </c>
      <c r="C28" s="68">
        <f>Q_dot_walls*-1</f>
        <v>0.04897605997</v>
      </c>
      <c r="D28" s="69"/>
      <c r="E28" s="69">
        <f>D28*Q_load_can*-1</f>
        <v>0</v>
      </c>
      <c r="F28" s="70">
        <f t="shared" si="1"/>
        <v>0.1959042399</v>
      </c>
      <c r="G28" s="68">
        <f t="shared" si="2"/>
        <v>0.04897605997</v>
      </c>
      <c r="H28" s="69"/>
      <c r="I28" s="48"/>
      <c r="J28" s="48"/>
      <c r="K28" s="48"/>
      <c r="L28" s="48"/>
      <c r="M28" s="48"/>
    </row>
    <row r="29">
      <c r="B29" s="67">
        <v>0.2604166666666667</v>
      </c>
      <c r="C29" s="68">
        <f>Q_dot_walls*-1</f>
        <v>0.04897605997</v>
      </c>
      <c r="D29" s="69"/>
      <c r="E29" s="69">
        <f>D29*Q_load_can*-1</f>
        <v>0</v>
      </c>
      <c r="F29" s="70">
        <f t="shared" si="1"/>
        <v>0.1959042399</v>
      </c>
      <c r="G29" s="68">
        <f t="shared" si="2"/>
        <v>0.04897605997</v>
      </c>
      <c r="H29" s="69"/>
    </row>
    <row r="30">
      <c r="B30" s="67">
        <v>0.2708333333333333</v>
      </c>
      <c r="C30" s="68">
        <f>Q_dot_walls*-1</f>
        <v>0.04897605997</v>
      </c>
      <c r="D30" s="69"/>
      <c r="E30" s="69">
        <f>D30*Q_load_can*-1</f>
        <v>0</v>
      </c>
      <c r="F30" s="70">
        <f t="shared" si="1"/>
        <v>0.1959042399</v>
      </c>
      <c r="G30" s="68">
        <f t="shared" si="2"/>
        <v>0.04897605997</v>
      </c>
      <c r="H30" s="69"/>
    </row>
    <row r="31">
      <c r="B31" s="67">
        <v>0.28125</v>
      </c>
      <c r="C31" s="68">
        <f>Q_dot_walls*-1</f>
        <v>0.04897605997</v>
      </c>
      <c r="D31" s="69"/>
      <c r="E31" s="69">
        <f>D31*Q_load_can*-1</f>
        <v>0</v>
      </c>
      <c r="F31" s="70">
        <f t="shared" si="1"/>
        <v>0.1959042399</v>
      </c>
      <c r="G31" s="68">
        <f t="shared" si="2"/>
        <v>0.04897605997</v>
      </c>
      <c r="H31" s="69"/>
    </row>
    <row r="32">
      <c r="B32" s="67">
        <v>0.2916666666666667</v>
      </c>
      <c r="C32" s="68">
        <f>Q_dot_walls*-1</f>
        <v>0.04897605997</v>
      </c>
      <c r="D32" s="69"/>
      <c r="E32" s="69">
        <f>D32*Q_load_can*-1</f>
        <v>0</v>
      </c>
      <c r="F32" s="70">
        <f t="shared" si="1"/>
        <v>0.1959042399</v>
      </c>
      <c r="G32" s="68">
        <f t="shared" si="2"/>
        <v>0.04897605997</v>
      </c>
      <c r="H32" s="69"/>
    </row>
    <row r="33">
      <c r="B33" s="67">
        <v>0.3020833333333333</v>
      </c>
      <c r="C33" s="68">
        <f>Q_dot_walls*-1</f>
        <v>0.04897605997</v>
      </c>
      <c r="D33" s="69"/>
      <c r="E33" s="69">
        <f>D33*Q_load_can*-1</f>
        <v>0</v>
      </c>
      <c r="F33" s="70">
        <f t="shared" si="1"/>
        <v>0.1959042399</v>
      </c>
      <c r="G33" s="68">
        <f t="shared" si="2"/>
        <v>0.04897605997</v>
      </c>
      <c r="H33" s="69"/>
    </row>
    <row r="34">
      <c r="B34" s="67">
        <v>0.3125</v>
      </c>
      <c r="C34" s="68">
        <f>Q_dot_walls*-1</f>
        <v>0.04897605997</v>
      </c>
      <c r="D34" s="69"/>
      <c r="E34" s="69">
        <f>D34*Q_load_can*-1</f>
        <v>0</v>
      </c>
      <c r="F34" s="70">
        <f t="shared" si="1"/>
        <v>0.1959042399</v>
      </c>
      <c r="G34" s="68">
        <f t="shared" si="2"/>
        <v>0.04897605997</v>
      </c>
      <c r="H34" s="69"/>
    </row>
    <row r="35">
      <c r="B35" s="67">
        <v>0.3229166666666667</v>
      </c>
      <c r="C35" s="68">
        <f>Q_dot_walls*-1</f>
        <v>0.04897605997</v>
      </c>
      <c r="D35" s="69"/>
      <c r="E35" s="69">
        <f>D35*Q_load_can*-1</f>
        <v>0</v>
      </c>
      <c r="F35" s="70">
        <f t="shared" si="1"/>
        <v>0.1959042399</v>
      </c>
      <c r="G35" s="68">
        <f t="shared" si="2"/>
        <v>0.04897605997</v>
      </c>
      <c r="H35" s="69"/>
    </row>
    <row r="36">
      <c r="B36" s="67">
        <v>0.3333333333333333</v>
      </c>
      <c r="C36" s="68">
        <f>Q_dot_walls*-1</f>
        <v>0.04897605997</v>
      </c>
      <c r="D36" s="80">
        <v>1.0</v>
      </c>
      <c r="E36" s="69">
        <f>D36*Q_load_can*-1</f>
        <v>27.14771544</v>
      </c>
      <c r="F36" s="70">
        <f t="shared" si="1"/>
        <v>27.34361967</v>
      </c>
      <c r="G36" s="68">
        <f t="shared" si="2"/>
        <v>0.07914018824</v>
      </c>
      <c r="H36" s="69"/>
    </row>
    <row r="37">
      <c r="B37" s="67">
        <v>0.34375</v>
      </c>
      <c r="C37" s="68">
        <f>Q_dot_walls*-1</f>
        <v>0.04897605997</v>
      </c>
      <c r="D37" s="69"/>
      <c r="E37" s="69">
        <f>D37*Q_load_can*-1</f>
        <v>0</v>
      </c>
      <c r="F37" s="70">
        <f t="shared" si="1"/>
        <v>0.1959042399</v>
      </c>
      <c r="G37" s="68">
        <f t="shared" si="2"/>
        <v>0.04897605997</v>
      </c>
      <c r="H37" s="69"/>
    </row>
    <row r="38">
      <c r="B38" s="67">
        <v>0.3541666666666667</v>
      </c>
      <c r="C38" s="68">
        <f>Q_dot_walls*-1</f>
        <v>0.04897605997</v>
      </c>
      <c r="D38" s="69"/>
      <c r="E38" s="69">
        <f>D38*Q_load_can*-1</f>
        <v>0</v>
      </c>
      <c r="F38" s="70">
        <f t="shared" si="1"/>
        <v>0.1959042399</v>
      </c>
      <c r="G38" s="68">
        <f t="shared" si="2"/>
        <v>0.04897605997</v>
      </c>
      <c r="H38" s="69"/>
    </row>
    <row r="39">
      <c r="B39" s="67">
        <v>0.3645833333333333</v>
      </c>
      <c r="C39" s="68">
        <f>Q_dot_walls*-1</f>
        <v>0.04897605997</v>
      </c>
      <c r="D39" s="69"/>
      <c r="E39" s="69">
        <f>D39*Q_load_can*-1</f>
        <v>0</v>
      </c>
      <c r="F39" s="70">
        <f t="shared" si="1"/>
        <v>0.1959042399</v>
      </c>
      <c r="G39" s="68">
        <f t="shared" si="2"/>
        <v>0.04897605997</v>
      </c>
      <c r="H39" s="69"/>
    </row>
    <row r="40">
      <c r="B40" s="67">
        <v>0.375</v>
      </c>
      <c r="C40" s="68">
        <f>Q_dot_walls*-1</f>
        <v>0.04897605997</v>
      </c>
      <c r="D40" s="69"/>
      <c r="E40" s="69">
        <f>D40*Q_load_can*-1</f>
        <v>0</v>
      </c>
      <c r="F40" s="70">
        <f t="shared" si="1"/>
        <v>0.1959042399</v>
      </c>
      <c r="G40" s="68">
        <f t="shared" si="2"/>
        <v>0.04897605997</v>
      </c>
      <c r="H40" s="69"/>
    </row>
    <row r="41">
      <c r="B41" s="67">
        <v>0.3854166666666667</v>
      </c>
      <c r="C41" s="68">
        <f>Q_dot_walls*-1</f>
        <v>0.04897605997</v>
      </c>
      <c r="D41" s="69"/>
      <c r="E41" s="69">
        <f>D41*Q_load_can*-1</f>
        <v>0</v>
      </c>
      <c r="F41" s="70">
        <f t="shared" si="1"/>
        <v>0.1959042399</v>
      </c>
      <c r="G41" s="68">
        <f t="shared" si="2"/>
        <v>0.04897605997</v>
      </c>
      <c r="H41" s="69"/>
    </row>
    <row r="42">
      <c r="B42" s="67">
        <v>0.3958333333333333</v>
      </c>
      <c r="C42" s="68">
        <f>Q_dot_walls*-1</f>
        <v>0.04897605997</v>
      </c>
      <c r="D42" s="69"/>
      <c r="E42" s="69">
        <f>D42*Q_load_can*-1</f>
        <v>0</v>
      </c>
      <c r="F42" s="70">
        <f t="shared" si="1"/>
        <v>0.1959042399</v>
      </c>
      <c r="G42" s="68">
        <f t="shared" si="2"/>
        <v>0.04897605997</v>
      </c>
      <c r="H42" s="69"/>
    </row>
    <row r="43">
      <c r="B43" s="67">
        <v>0.40625</v>
      </c>
      <c r="C43" s="68">
        <f>Q_dot_walls*-1</f>
        <v>0.04897605997</v>
      </c>
      <c r="D43" s="69"/>
      <c r="E43" s="69">
        <f>D43*Q_load_can*-1</f>
        <v>0</v>
      </c>
      <c r="F43" s="70">
        <f t="shared" si="1"/>
        <v>0.1959042399</v>
      </c>
      <c r="G43" s="68">
        <f t="shared" si="2"/>
        <v>0.04897605997</v>
      </c>
      <c r="H43" s="69"/>
    </row>
    <row r="44">
      <c r="B44" s="67">
        <v>0.4166666666666667</v>
      </c>
      <c r="C44" s="68">
        <f>Q_dot_walls*-1</f>
        <v>0.04897605997</v>
      </c>
      <c r="D44" s="80">
        <v>1.0</v>
      </c>
      <c r="E44" s="69">
        <f>D44*Q_load_can*-1</f>
        <v>27.14771544</v>
      </c>
      <c r="F44" s="70">
        <f t="shared" si="1"/>
        <v>27.34361967</v>
      </c>
      <c r="G44" s="68">
        <f t="shared" si="2"/>
        <v>0.07914018824</v>
      </c>
      <c r="H44" s="69"/>
    </row>
    <row r="45">
      <c r="B45" s="67">
        <v>0.4270833333333333</v>
      </c>
      <c r="C45" s="68">
        <f>Q_dot_walls*-1</f>
        <v>0.04897605997</v>
      </c>
      <c r="D45" s="69"/>
      <c r="E45" s="69">
        <f>D45*Q_load_can*-1</f>
        <v>0</v>
      </c>
      <c r="F45" s="70">
        <f t="shared" si="1"/>
        <v>0.1959042399</v>
      </c>
      <c r="G45" s="68">
        <f t="shared" si="2"/>
        <v>0.04897605997</v>
      </c>
      <c r="H45" s="69"/>
      <c r="J45" s="41"/>
    </row>
    <row r="46">
      <c r="B46" s="67">
        <v>0.4375</v>
      </c>
      <c r="C46" s="68">
        <f>Q_dot_walls*-1</f>
        <v>0.04897605997</v>
      </c>
      <c r="D46" s="69"/>
      <c r="E46" s="69">
        <f>D46*Q_load_can*-1</f>
        <v>0</v>
      </c>
      <c r="F46" s="70">
        <f t="shared" si="1"/>
        <v>0.1959042399</v>
      </c>
      <c r="G46" s="68">
        <f t="shared" si="2"/>
        <v>0.04897605997</v>
      </c>
      <c r="H46" s="69"/>
      <c r="I46" s="81" t="s">
        <v>159</v>
      </c>
      <c r="J46" s="82"/>
    </row>
    <row r="47">
      <c r="B47" s="67">
        <v>0.4479166666666667</v>
      </c>
      <c r="C47" s="68">
        <f>Q_dot_walls*-1</f>
        <v>0.04897605997</v>
      </c>
      <c r="D47" s="69"/>
      <c r="E47" s="69">
        <f>D47*Q_load_can*-1</f>
        <v>0</v>
      </c>
      <c r="F47" s="70">
        <f t="shared" si="1"/>
        <v>0.1959042399</v>
      </c>
      <c r="G47" s="68">
        <f t="shared" si="2"/>
        <v>0.04897605997</v>
      </c>
      <c r="H47" s="69"/>
      <c r="I47" s="73" t="s">
        <v>162</v>
      </c>
      <c r="J47" s="83">
        <v>20.486611897139053</v>
      </c>
    </row>
    <row r="48">
      <c r="B48" s="67">
        <v>0.4583333333333333</v>
      </c>
      <c r="C48" s="68">
        <f>Q_dot_walls*-1</f>
        <v>0.04897605997</v>
      </c>
      <c r="D48" s="69"/>
      <c r="E48" s="69">
        <f>D48*Q_load_can*-1</f>
        <v>0</v>
      </c>
      <c r="F48" s="70">
        <f t="shared" si="1"/>
        <v>0.1959042399</v>
      </c>
      <c r="G48" s="68">
        <f t="shared" si="2"/>
        <v>0.04897605997</v>
      </c>
      <c r="H48" s="69"/>
      <c r="I48" s="73" t="s">
        <v>163</v>
      </c>
      <c r="J48" s="83">
        <v>17.137838798568247</v>
      </c>
    </row>
    <row r="49">
      <c r="B49" s="67">
        <v>0.46875</v>
      </c>
      <c r="C49" s="68">
        <f>Q_dot_walls*-1</f>
        <v>0.04897605997</v>
      </c>
      <c r="D49" s="69"/>
      <c r="E49" s="69">
        <f>D49*Q_load_can*-1</f>
        <v>0</v>
      </c>
      <c r="F49" s="70">
        <f t="shared" si="1"/>
        <v>0.1959042399</v>
      </c>
      <c r="G49" s="68">
        <f t="shared" si="2"/>
        <v>0.04897605997</v>
      </c>
      <c r="H49" s="69"/>
      <c r="I49" s="73" t="s">
        <v>166</v>
      </c>
      <c r="J49" s="83">
        <f>'Motor Calculations'!D7</f>
        <v>0.1047915</v>
      </c>
    </row>
    <row r="50">
      <c r="B50" s="67">
        <v>0.4791666666666667</v>
      </c>
      <c r="C50" s="68">
        <f>Q_dot_walls*-1</f>
        <v>0.04897605997</v>
      </c>
      <c r="D50" s="69"/>
      <c r="E50" s="69">
        <f>D50*Q_load_can*-1</f>
        <v>0</v>
      </c>
      <c r="F50" s="70">
        <f t="shared" si="1"/>
        <v>0.1959042399</v>
      </c>
      <c r="G50" s="68">
        <f t="shared" si="2"/>
        <v>0.04897605997</v>
      </c>
      <c r="H50" s="69"/>
      <c r="I50" s="84" t="s">
        <v>164</v>
      </c>
      <c r="J50" s="85">
        <v>3.243981598570806</v>
      </c>
    </row>
    <row r="51">
      <c r="B51" s="67">
        <v>0.4895833333333333</v>
      </c>
      <c r="C51" s="68">
        <f>Q_dot_walls*-1</f>
        <v>0.04897605997</v>
      </c>
      <c r="D51" s="69"/>
      <c r="E51" s="69">
        <f>D51*Q_load_can*-1</f>
        <v>0</v>
      </c>
      <c r="F51" s="70">
        <f t="shared" si="1"/>
        <v>0.1959042399</v>
      </c>
      <c r="G51" s="68">
        <f t="shared" si="2"/>
        <v>0.04897605997</v>
      </c>
      <c r="H51" s="69"/>
    </row>
    <row r="52">
      <c r="B52" s="67">
        <v>0.5</v>
      </c>
      <c r="C52" s="68">
        <f>Q_dot_walls*-1</f>
        <v>0.04897605997</v>
      </c>
      <c r="D52" s="80">
        <v>5.0</v>
      </c>
      <c r="E52" s="69">
        <f>D52*Q_load_can*-1</f>
        <v>135.7385772</v>
      </c>
      <c r="F52" s="70">
        <f t="shared" si="1"/>
        <v>135.9344814</v>
      </c>
      <c r="G52" s="68">
        <f t="shared" si="2"/>
        <v>0.1997967013</v>
      </c>
      <c r="H52" s="69"/>
    </row>
    <row r="53">
      <c r="B53" s="67">
        <v>0.5104166666666666</v>
      </c>
      <c r="C53" s="68">
        <f>Q_dot_walls*-1</f>
        <v>0.04897605997</v>
      </c>
      <c r="D53" s="69"/>
      <c r="E53" s="69">
        <f>D53*Q_load_can*-1</f>
        <v>0</v>
      </c>
      <c r="F53" s="70">
        <f t="shared" si="1"/>
        <v>0.1959042399</v>
      </c>
      <c r="G53" s="68">
        <f t="shared" si="2"/>
        <v>0.04897605997</v>
      </c>
      <c r="H53" s="69"/>
    </row>
    <row r="54">
      <c r="B54" s="67">
        <v>0.5208333333333334</v>
      </c>
      <c r="C54" s="68">
        <f>Q_dot_walls*-1</f>
        <v>0.04897605997</v>
      </c>
      <c r="D54" s="69"/>
      <c r="E54" s="69">
        <f>D54*Q_load_can*-1</f>
        <v>0</v>
      </c>
      <c r="F54" s="70">
        <f t="shared" si="1"/>
        <v>0.1959042399</v>
      </c>
      <c r="G54" s="68">
        <f t="shared" si="2"/>
        <v>0.04897605997</v>
      </c>
      <c r="H54" s="69"/>
    </row>
    <row r="55">
      <c r="B55" s="67">
        <v>0.53125</v>
      </c>
      <c r="C55" s="68">
        <f>Q_dot_walls*-1</f>
        <v>0.04897605997</v>
      </c>
      <c r="D55" s="69"/>
      <c r="E55" s="69">
        <f>D55*Q_load_can*-1</f>
        <v>0</v>
      </c>
      <c r="F55" s="70">
        <f t="shared" si="1"/>
        <v>0.1959042399</v>
      </c>
      <c r="G55" s="68">
        <f t="shared" si="2"/>
        <v>0.04897605997</v>
      </c>
      <c r="H55" s="69"/>
    </row>
    <row r="56">
      <c r="B56" s="67">
        <v>0.5416666666666666</v>
      </c>
      <c r="C56" s="68">
        <f>Q_dot_walls*-1</f>
        <v>0.04897605997</v>
      </c>
      <c r="D56" s="69"/>
      <c r="E56" s="69">
        <f>D56*Q_load_can*-1</f>
        <v>0</v>
      </c>
      <c r="F56" s="70">
        <f t="shared" si="1"/>
        <v>0.1959042399</v>
      </c>
      <c r="G56" s="68">
        <f t="shared" si="2"/>
        <v>0.04897605997</v>
      </c>
      <c r="H56" s="69"/>
    </row>
    <row r="57">
      <c r="B57" s="67">
        <v>0.5520833333333334</v>
      </c>
      <c r="C57" s="68">
        <f>Q_dot_walls*-1</f>
        <v>0.04897605997</v>
      </c>
      <c r="D57" s="69"/>
      <c r="E57" s="69">
        <f>D57*Q_load_can*-1</f>
        <v>0</v>
      </c>
      <c r="F57" s="70">
        <f t="shared" si="1"/>
        <v>0.1959042399</v>
      </c>
      <c r="G57" s="68">
        <f t="shared" si="2"/>
        <v>0.04897605997</v>
      </c>
      <c r="H57" s="69"/>
    </row>
    <row r="58">
      <c r="B58" s="67">
        <v>0.5625</v>
      </c>
      <c r="C58" s="68">
        <f>Q_dot_walls*-1</f>
        <v>0.04897605997</v>
      </c>
      <c r="D58" s="80">
        <v>1.0</v>
      </c>
      <c r="E58" s="69">
        <f>D58*Q_load_can*-1</f>
        <v>27.14771544</v>
      </c>
      <c r="F58" s="70">
        <f t="shared" si="1"/>
        <v>27.34361967</v>
      </c>
      <c r="G58" s="68">
        <f t="shared" si="2"/>
        <v>0.07914018824</v>
      </c>
      <c r="H58" s="69"/>
    </row>
    <row r="59">
      <c r="B59" s="67">
        <v>0.5729166666666666</v>
      </c>
      <c r="C59" s="68">
        <f>Q_dot_walls*-1</f>
        <v>0.04897605997</v>
      </c>
      <c r="D59" s="69"/>
      <c r="E59" s="69">
        <f>D59*Q_load_can*-1</f>
        <v>0</v>
      </c>
      <c r="F59" s="70">
        <f t="shared" si="1"/>
        <v>0.1959042399</v>
      </c>
      <c r="G59" s="68">
        <f t="shared" si="2"/>
        <v>0.04897605997</v>
      </c>
      <c r="H59" s="69"/>
    </row>
    <row r="60">
      <c r="B60" s="67">
        <v>0.5833333333333334</v>
      </c>
      <c r="C60" s="68">
        <f>Q_dot_walls*-1</f>
        <v>0.04897605997</v>
      </c>
      <c r="D60" s="69"/>
      <c r="E60" s="69">
        <f>D60*Q_load_can*-1</f>
        <v>0</v>
      </c>
      <c r="F60" s="70">
        <f t="shared" si="1"/>
        <v>0.1959042399</v>
      </c>
      <c r="G60" s="68">
        <f t="shared" si="2"/>
        <v>0.04897605997</v>
      </c>
      <c r="H60" s="69"/>
    </row>
    <row r="61">
      <c r="B61" s="67">
        <v>0.59375</v>
      </c>
      <c r="C61" s="68">
        <f>Q_dot_walls*-1</f>
        <v>0.04897605997</v>
      </c>
      <c r="D61" s="69"/>
      <c r="E61" s="69">
        <f>D61*Q_load_can*-1</f>
        <v>0</v>
      </c>
      <c r="F61" s="70">
        <f t="shared" si="1"/>
        <v>0.1959042399</v>
      </c>
      <c r="G61" s="68">
        <f t="shared" si="2"/>
        <v>0.04897605997</v>
      </c>
      <c r="H61" s="69"/>
    </row>
    <row r="62">
      <c r="B62" s="67">
        <v>0.6041666666666666</v>
      </c>
      <c r="C62" s="68">
        <f>Q_dot_walls*-1</f>
        <v>0.04897605997</v>
      </c>
      <c r="D62" s="69"/>
      <c r="E62" s="69">
        <f>D62*Q_load_can*-1</f>
        <v>0</v>
      </c>
      <c r="F62" s="70">
        <f t="shared" si="1"/>
        <v>0.1959042399</v>
      </c>
      <c r="G62" s="68">
        <f t="shared" si="2"/>
        <v>0.04897605997</v>
      </c>
      <c r="H62" s="69"/>
    </row>
    <row r="63">
      <c r="B63" s="67">
        <v>0.6145833333333334</v>
      </c>
      <c r="C63" s="68">
        <f>Q_dot_walls*-1</f>
        <v>0.04897605997</v>
      </c>
      <c r="D63" s="69"/>
      <c r="E63" s="69">
        <f>D63*Q_load_can*-1</f>
        <v>0</v>
      </c>
      <c r="F63" s="70">
        <f t="shared" si="1"/>
        <v>0.1959042399</v>
      </c>
      <c r="G63" s="68">
        <f t="shared" si="2"/>
        <v>0.04897605997</v>
      </c>
      <c r="H63" s="69"/>
    </row>
    <row r="64">
      <c r="B64" s="67">
        <v>0.625</v>
      </c>
      <c r="C64" s="68">
        <f>Q_dot_walls*-1</f>
        <v>0.04897605997</v>
      </c>
      <c r="D64" s="80">
        <v>1.0</v>
      </c>
      <c r="E64" s="69">
        <f>D64*Q_load_can*-1</f>
        <v>27.14771544</v>
      </c>
      <c r="F64" s="70">
        <f t="shared" si="1"/>
        <v>27.34361967</v>
      </c>
      <c r="G64" s="68">
        <f t="shared" si="2"/>
        <v>0.07914018824</v>
      </c>
      <c r="H64" s="69"/>
    </row>
    <row r="65">
      <c r="B65" s="67">
        <v>0.6354166666666666</v>
      </c>
      <c r="C65" s="68">
        <f>Q_dot_walls*-1</f>
        <v>0.04897605997</v>
      </c>
      <c r="D65" s="69"/>
      <c r="E65" s="69">
        <f>D65*Q_load_can*-1</f>
        <v>0</v>
      </c>
      <c r="F65" s="70">
        <f t="shared" si="1"/>
        <v>0.1959042399</v>
      </c>
      <c r="G65" s="68">
        <f t="shared" si="2"/>
        <v>0.04897605997</v>
      </c>
      <c r="H65" s="69"/>
    </row>
    <row r="66">
      <c r="B66" s="67">
        <v>0.6458333333333334</v>
      </c>
      <c r="C66" s="68">
        <f>Q_dot_walls*-1</f>
        <v>0.04897605997</v>
      </c>
      <c r="D66" s="69"/>
      <c r="E66" s="69">
        <f>D66*Q_load_can*-1</f>
        <v>0</v>
      </c>
      <c r="F66" s="70">
        <f t="shared" si="1"/>
        <v>0.1959042399</v>
      </c>
      <c r="G66" s="68">
        <f t="shared" si="2"/>
        <v>0.04897605997</v>
      </c>
      <c r="H66" s="69"/>
    </row>
    <row r="67">
      <c r="B67" s="67">
        <v>0.65625</v>
      </c>
      <c r="C67" s="68">
        <f>Q_dot_walls*-1</f>
        <v>0.04897605997</v>
      </c>
      <c r="D67" s="69"/>
      <c r="E67" s="69">
        <f>D67*Q_load_can*-1</f>
        <v>0</v>
      </c>
      <c r="F67" s="70">
        <f t="shared" si="1"/>
        <v>0.1959042399</v>
      </c>
      <c r="G67" s="68">
        <f t="shared" si="2"/>
        <v>0.04897605997</v>
      </c>
      <c r="H67" s="69"/>
    </row>
    <row r="68">
      <c r="B68" s="67">
        <v>0.6666666666666666</v>
      </c>
      <c r="C68" s="68">
        <f>Q_dot_walls*-1</f>
        <v>0.04897605997</v>
      </c>
      <c r="D68" s="69"/>
      <c r="E68" s="69">
        <f>D68*Q_load_can*-1</f>
        <v>0</v>
      </c>
      <c r="F68" s="70">
        <f t="shared" si="1"/>
        <v>0.1959042399</v>
      </c>
      <c r="G68" s="68">
        <f t="shared" si="2"/>
        <v>0.04897605997</v>
      </c>
      <c r="H68" s="69"/>
    </row>
    <row r="69">
      <c r="B69" s="67">
        <v>0.6770833333333334</v>
      </c>
      <c r="C69" s="68">
        <f>Q_dot_walls*-1</f>
        <v>0.04897605997</v>
      </c>
      <c r="D69" s="69"/>
      <c r="E69" s="69">
        <f>D69*Q_load_can*-1</f>
        <v>0</v>
      </c>
      <c r="F69" s="70">
        <f t="shared" si="1"/>
        <v>0.1959042399</v>
      </c>
      <c r="G69" s="68">
        <f t="shared" si="2"/>
        <v>0.04897605997</v>
      </c>
      <c r="H69" s="69"/>
    </row>
    <row r="70">
      <c r="B70" s="67">
        <v>0.6875</v>
      </c>
      <c r="C70" s="68">
        <f>Q_dot_walls*-1</f>
        <v>0.04897605997</v>
      </c>
      <c r="D70" s="69"/>
      <c r="E70" s="69">
        <f>D70*Q_load_can*-1</f>
        <v>0</v>
      </c>
      <c r="F70" s="70">
        <f t="shared" si="1"/>
        <v>0.1959042399</v>
      </c>
      <c r="G70" s="68">
        <f t="shared" si="2"/>
        <v>0.04897605997</v>
      </c>
      <c r="H70" s="69"/>
    </row>
    <row r="71">
      <c r="B71" s="67">
        <v>0.6979166666666666</v>
      </c>
      <c r="C71" s="68">
        <f>Q_dot_walls*-1</f>
        <v>0.04897605997</v>
      </c>
      <c r="D71" s="69"/>
      <c r="E71" s="69">
        <f>D71*Q_load_can*-1</f>
        <v>0</v>
      </c>
      <c r="F71" s="70">
        <f t="shared" si="1"/>
        <v>0.1959042399</v>
      </c>
      <c r="G71" s="68">
        <f t="shared" si="2"/>
        <v>0.04897605997</v>
      </c>
      <c r="H71" s="68"/>
    </row>
    <row r="72">
      <c r="B72" s="86">
        <v>0.7083333333333334</v>
      </c>
      <c r="C72" s="87">
        <f>Q_dot_walls*-1</f>
        <v>0.04897605997</v>
      </c>
      <c r="D72" s="88">
        <v>5.0</v>
      </c>
      <c r="E72" s="89">
        <f>D72*Q_load_can*-1</f>
        <v>135.7385772</v>
      </c>
      <c r="F72" s="90">
        <f t="shared" si="1"/>
        <v>135.9344814</v>
      </c>
      <c r="G72" s="87">
        <f t="shared" si="2"/>
        <v>0.1997967013</v>
      </c>
      <c r="H72" s="87">
        <v>0.050509357761002585</v>
      </c>
    </row>
    <row r="73">
      <c r="B73" s="86">
        <v>0.71875</v>
      </c>
      <c r="C73" s="87">
        <f>Q_dot_walls*-1</f>
        <v>0.04897605997</v>
      </c>
      <c r="D73" s="89"/>
      <c r="E73" s="89">
        <f>D73*Q_load_can*-1</f>
        <v>0</v>
      </c>
      <c r="F73" s="90">
        <f t="shared" si="1"/>
        <v>0.1959042399</v>
      </c>
      <c r="G73" s="87">
        <f t="shared" si="2"/>
        <v>0.04897605997</v>
      </c>
      <c r="H73" s="87">
        <v>0.050509357761002585</v>
      </c>
    </row>
    <row r="74">
      <c r="B74" s="86">
        <v>0.7291666666666666</v>
      </c>
      <c r="C74" s="87">
        <f>Q_dot_walls*-1</f>
        <v>0.04897605997</v>
      </c>
      <c r="D74" s="91">
        <v>5.0</v>
      </c>
      <c r="E74" s="89">
        <f>D74*Q_load_can*-1</f>
        <v>135.7385772</v>
      </c>
      <c r="F74" s="90">
        <f t="shared" si="1"/>
        <v>135.9344814</v>
      </c>
      <c r="G74" s="87">
        <f t="shared" si="2"/>
        <v>0.1997967013</v>
      </c>
      <c r="H74" s="87">
        <v>0.050509357761002585</v>
      </c>
    </row>
    <row r="75">
      <c r="B75" s="86">
        <v>0.7395833333333334</v>
      </c>
      <c r="C75" s="87">
        <f>Q_dot_walls*-1</f>
        <v>0.04897605997</v>
      </c>
      <c r="D75" s="89"/>
      <c r="E75" s="89">
        <f>D75*Q_load_can*-1</f>
        <v>0</v>
      </c>
      <c r="F75" s="90">
        <f t="shared" si="1"/>
        <v>0.1959042399</v>
      </c>
      <c r="G75" s="87">
        <f t="shared" si="2"/>
        <v>0.04897605997</v>
      </c>
      <c r="H75" s="87">
        <v>0.050509357761002585</v>
      </c>
    </row>
    <row r="76">
      <c r="B76" s="86">
        <v>0.75</v>
      </c>
      <c r="C76" s="87">
        <f>Q_dot_walls*-1</f>
        <v>0.04897605997</v>
      </c>
      <c r="D76" s="89"/>
      <c r="E76" s="89">
        <f>D76*Q_load_can*-1</f>
        <v>0</v>
      </c>
      <c r="F76" s="90">
        <f t="shared" si="1"/>
        <v>0.1959042399</v>
      </c>
      <c r="G76" s="87">
        <f t="shared" si="2"/>
        <v>0.04897605997</v>
      </c>
      <c r="H76" s="87">
        <v>0.050509357761002585</v>
      </c>
    </row>
    <row r="77">
      <c r="B77" s="86">
        <v>0.7604166666666666</v>
      </c>
      <c r="C77" s="87">
        <f>Q_dot_walls*-1</f>
        <v>0.04897605997</v>
      </c>
      <c r="D77" s="89"/>
      <c r="E77" s="89">
        <f>D77*Q_load_can*-1</f>
        <v>0</v>
      </c>
      <c r="F77" s="90">
        <f t="shared" si="1"/>
        <v>0.1959042399</v>
      </c>
      <c r="G77" s="87">
        <f t="shared" si="2"/>
        <v>0.04897605997</v>
      </c>
      <c r="H77" s="87">
        <v>0.050509357761002585</v>
      </c>
    </row>
    <row r="78">
      <c r="B78" s="86">
        <v>0.7708333333333334</v>
      </c>
      <c r="C78" s="87">
        <f>Q_dot_walls*-1</f>
        <v>0.04897605997</v>
      </c>
      <c r="D78" s="91">
        <v>5.0</v>
      </c>
      <c r="E78" s="89">
        <f>D78*Q_load_can*-1</f>
        <v>135.7385772</v>
      </c>
      <c r="F78" s="90">
        <f t="shared" si="1"/>
        <v>135.9344814</v>
      </c>
      <c r="G78" s="87">
        <f t="shared" si="2"/>
        <v>0.1997967013</v>
      </c>
      <c r="H78" s="87">
        <v>0.050509357761002585</v>
      </c>
    </row>
    <row r="79">
      <c r="B79" s="86">
        <v>0.78125</v>
      </c>
      <c r="C79" s="87">
        <f>Q_dot_walls*-1</f>
        <v>0.04897605997</v>
      </c>
      <c r="D79" s="89"/>
      <c r="E79" s="89">
        <f>D79*Q_load_can*-1</f>
        <v>0</v>
      </c>
      <c r="F79" s="90">
        <f t="shared" si="1"/>
        <v>0.1959042399</v>
      </c>
      <c r="G79" s="87">
        <f t="shared" si="2"/>
        <v>0.04897605997</v>
      </c>
      <c r="H79" s="87">
        <v>0.050509357761002585</v>
      </c>
    </row>
    <row r="80">
      <c r="B80" s="86">
        <v>0.7916666666666666</v>
      </c>
      <c r="C80" s="87">
        <f>Q_dot_walls*-1</f>
        <v>0.04897605997</v>
      </c>
      <c r="D80" s="89"/>
      <c r="E80" s="89">
        <f>D80*Q_load_can*-1</f>
        <v>0</v>
      </c>
      <c r="F80" s="90">
        <f t="shared" si="1"/>
        <v>0.1959042399</v>
      </c>
      <c r="G80" s="87">
        <f t="shared" si="2"/>
        <v>0.04897605997</v>
      </c>
      <c r="H80" s="87">
        <v>0.050509357761002585</v>
      </c>
    </row>
    <row r="81">
      <c r="B81" s="86">
        <v>0.8020833333333334</v>
      </c>
      <c r="C81" s="87">
        <f>Q_dot_walls*-1</f>
        <v>0.04897605997</v>
      </c>
      <c r="D81" s="91">
        <v>5.0</v>
      </c>
      <c r="E81" s="89">
        <f>D81*Q_load_can*-1</f>
        <v>135.7385772</v>
      </c>
      <c r="F81" s="90">
        <f t="shared" si="1"/>
        <v>135.9344814</v>
      </c>
      <c r="G81" s="87">
        <f t="shared" si="2"/>
        <v>0.1997967013</v>
      </c>
      <c r="H81" s="87">
        <v>0.050509357761002585</v>
      </c>
    </row>
    <row r="82">
      <c r="B82" s="86">
        <v>0.8125</v>
      </c>
      <c r="C82" s="87">
        <f>Q_dot_walls*-1</f>
        <v>0.04897605997</v>
      </c>
      <c r="D82" s="89"/>
      <c r="E82" s="89">
        <f>D82*Q_load_can*-1</f>
        <v>0</v>
      </c>
      <c r="F82" s="90">
        <f t="shared" si="1"/>
        <v>0.1959042399</v>
      </c>
      <c r="G82" s="87">
        <f t="shared" si="2"/>
        <v>0.04897605997</v>
      </c>
      <c r="H82" s="87">
        <v>0.050509357761002585</v>
      </c>
    </row>
    <row r="83">
      <c r="B83" s="86">
        <v>0.8229166666666666</v>
      </c>
      <c r="C83" s="87">
        <f>Q_dot_walls*-1</f>
        <v>0.04897605997</v>
      </c>
      <c r="D83" s="89"/>
      <c r="E83" s="89">
        <f>D83*Q_load_can*-1</f>
        <v>0</v>
      </c>
      <c r="F83" s="90">
        <f t="shared" si="1"/>
        <v>0.1959042399</v>
      </c>
      <c r="G83" s="87">
        <f t="shared" si="2"/>
        <v>0.04897605997</v>
      </c>
      <c r="H83" s="87">
        <v>0.050509357761002585</v>
      </c>
    </row>
    <row r="84">
      <c r="B84" s="86">
        <v>0.8333333333333334</v>
      </c>
      <c r="C84" s="87">
        <f>Q_dot_walls*-1</f>
        <v>0.04897605997</v>
      </c>
      <c r="D84" s="89"/>
      <c r="E84" s="89">
        <f>D84*Q_load_can*-1</f>
        <v>0</v>
      </c>
      <c r="F84" s="90">
        <f t="shared" si="1"/>
        <v>0.1959042399</v>
      </c>
      <c r="G84" s="87">
        <f t="shared" si="2"/>
        <v>0.04897605997</v>
      </c>
      <c r="H84" s="87">
        <v>0.050509357761002585</v>
      </c>
    </row>
    <row r="85">
      <c r="B85" s="67">
        <v>0.84375</v>
      </c>
      <c r="C85" s="68">
        <f>Q_dot_walls*-1</f>
        <v>0.04897605997</v>
      </c>
      <c r="D85" s="69"/>
      <c r="E85" s="69">
        <f>D85*Q_load_can*-1</f>
        <v>0</v>
      </c>
      <c r="F85" s="70">
        <f t="shared" si="1"/>
        <v>0.1959042399</v>
      </c>
      <c r="G85" s="68">
        <f t="shared" si="2"/>
        <v>0.04897605997</v>
      </c>
      <c r="H85" s="69"/>
    </row>
    <row r="86">
      <c r="B86" s="67">
        <v>0.8541666666666666</v>
      </c>
      <c r="C86" s="68">
        <f>Q_dot_walls*-1</f>
        <v>0.04897605997</v>
      </c>
      <c r="D86" s="69"/>
      <c r="E86" s="69">
        <f>D86*Q_load_can*-1</f>
        <v>0</v>
      </c>
      <c r="F86" s="70">
        <f t="shared" si="1"/>
        <v>0.1959042399</v>
      </c>
      <c r="G86" s="68">
        <f t="shared" si="2"/>
        <v>0.04897605997</v>
      </c>
      <c r="H86" s="69"/>
    </row>
    <row r="87">
      <c r="B87" s="67">
        <v>0.8645833333333334</v>
      </c>
      <c r="C87" s="68">
        <f>Q_dot_walls*-1</f>
        <v>0.04897605997</v>
      </c>
      <c r="D87" s="80">
        <v>1.0</v>
      </c>
      <c r="E87" s="69">
        <f>D87*Q_load_can*-1</f>
        <v>27.14771544</v>
      </c>
      <c r="F87" s="70">
        <f t="shared" si="1"/>
        <v>27.34361967</v>
      </c>
      <c r="G87" s="68">
        <f t="shared" si="2"/>
        <v>0.07914018824</v>
      </c>
      <c r="H87" s="69"/>
    </row>
    <row r="88">
      <c r="B88" s="67">
        <v>0.875</v>
      </c>
      <c r="C88" s="68">
        <f>Q_dot_walls*-1</f>
        <v>0.04897605997</v>
      </c>
      <c r="D88" s="69"/>
      <c r="E88" s="69">
        <f>D88*Q_load_can*-1</f>
        <v>0</v>
      </c>
      <c r="F88" s="70">
        <f t="shared" si="1"/>
        <v>0.1959042399</v>
      </c>
      <c r="G88" s="68">
        <f t="shared" si="2"/>
        <v>0.04897605997</v>
      </c>
      <c r="H88" s="69"/>
    </row>
    <row r="89">
      <c r="B89" s="67">
        <v>0.8854166666666666</v>
      </c>
      <c r="C89" s="68">
        <f>Q_dot_walls*-1</f>
        <v>0.04897605997</v>
      </c>
      <c r="D89" s="69"/>
      <c r="E89" s="69">
        <f>D89*Q_load_can*-1</f>
        <v>0</v>
      </c>
      <c r="F89" s="70">
        <f t="shared" si="1"/>
        <v>0.1959042399</v>
      </c>
      <c r="G89" s="68">
        <f t="shared" si="2"/>
        <v>0.04897605997</v>
      </c>
      <c r="H89" s="69"/>
    </row>
    <row r="90">
      <c r="B90" s="67">
        <v>0.8958333333333334</v>
      </c>
      <c r="C90" s="68">
        <f>Q_dot_walls*-1</f>
        <v>0.04897605997</v>
      </c>
      <c r="D90" s="69"/>
      <c r="E90" s="69">
        <f>D90*Q_load_can*-1</f>
        <v>0</v>
      </c>
      <c r="F90" s="70">
        <f t="shared" si="1"/>
        <v>0.1959042399</v>
      </c>
      <c r="G90" s="68">
        <f t="shared" si="2"/>
        <v>0.04897605997</v>
      </c>
      <c r="H90" s="69"/>
    </row>
    <row r="91">
      <c r="B91" s="67">
        <v>0.90625</v>
      </c>
      <c r="C91" s="68">
        <f>Q_dot_walls*-1</f>
        <v>0.04897605997</v>
      </c>
      <c r="D91" s="69"/>
      <c r="E91" s="69">
        <f>D91*Q_load_can*-1</f>
        <v>0</v>
      </c>
      <c r="F91" s="70">
        <f t="shared" si="1"/>
        <v>0.1959042399</v>
      </c>
      <c r="G91" s="68">
        <f t="shared" si="2"/>
        <v>0.04897605997</v>
      </c>
      <c r="H91" s="69"/>
    </row>
    <row r="92">
      <c r="B92" s="67">
        <v>0.9166666666666666</v>
      </c>
      <c r="C92" s="68">
        <f>Q_dot_walls*-1</f>
        <v>0.04897605997</v>
      </c>
      <c r="D92" s="69"/>
      <c r="E92" s="69">
        <f>D92*Q_load_can*-1</f>
        <v>0</v>
      </c>
      <c r="F92" s="70">
        <f t="shared" si="1"/>
        <v>0.1959042399</v>
      </c>
      <c r="G92" s="68">
        <f t="shared" si="2"/>
        <v>0.04897605997</v>
      </c>
      <c r="H92" s="69"/>
    </row>
    <row r="93">
      <c r="B93" s="67">
        <v>0.9270833333333334</v>
      </c>
      <c r="C93" s="68">
        <f>Q_dot_walls*-1</f>
        <v>0.04897605997</v>
      </c>
      <c r="D93" s="80">
        <v>1.0</v>
      </c>
      <c r="E93" s="69">
        <f>D93*Q_load_can*-1</f>
        <v>27.14771544</v>
      </c>
      <c r="F93" s="70">
        <f t="shared" si="1"/>
        <v>27.34361967</v>
      </c>
      <c r="G93" s="68">
        <f t="shared" si="2"/>
        <v>0.07914018824</v>
      </c>
      <c r="H93" s="69"/>
    </row>
    <row r="94">
      <c r="B94" s="67">
        <v>0.9375</v>
      </c>
      <c r="C94" s="68">
        <f>Q_dot_walls*-1</f>
        <v>0.04897605997</v>
      </c>
      <c r="D94" s="69"/>
      <c r="E94" s="69">
        <f>D94*Q_load_can*-1</f>
        <v>0</v>
      </c>
      <c r="F94" s="70">
        <f t="shared" si="1"/>
        <v>0.1959042399</v>
      </c>
      <c r="G94" s="68">
        <f t="shared" si="2"/>
        <v>0.04897605997</v>
      </c>
      <c r="H94" s="69"/>
    </row>
    <row r="95">
      <c r="B95" s="67">
        <v>0.9479166666666666</v>
      </c>
      <c r="C95" s="68">
        <f>Q_dot_walls*-1</f>
        <v>0.04897605997</v>
      </c>
      <c r="D95" s="69"/>
      <c r="E95" s="69">
        <f>D95*Q_load_can*-1</f>
        <v>0</v>
      </c>
      <c r="F95" s="70">
        <f t="shared" si="1"/>
        <v>0.1959042399</v>
      </c>
      <c r="G95" s="68">
        <f t="shared" si="2"/>
        <v>0.04897605997</v>
      </c>
      <c r="H95" s="69"/>
    </row>
    <row r="96">
      <c r="B96" s="67">
        <v>0.9583333333333334</v>
      </c>
      <c r="C96" s="68">
        <f>Q_dot_walls*-1</f>
        <v>0.04897605997</v>
      </c>
      <c r="D96" s="69"/>
      <c r="E96" s="69">
        <f>D96*Q_load_can*-1</f>
        <v>0</v>
      </c>
      <c r="F96" s="70">
        <f t="shared" si="1"/>
        <v>0.1959042399</v>
      </c>
      <c r="G96" s="68">
        <f t="shared" si="2"/>
        <v>0.04897605997</v>
      </c>
      <c r="H96" s="69"/>
    </row>
    <row r="97">
      <c r="B97" s="67">
        <v>0.96875</v>
      </c>
      <c r="C97" s="68">
        <f>Q_dot_walls*-1</f>
        <v>0.04897605997</v>
      </c>
      <c r="D97" s="69"/>
      <c r="E97" s="69">
        <f>D97*Q_load_can*-1</f>
        <v>0</v>
      </c>
      <c r="F97" s="70">
        <f t="shared" si="1"/>
        <v>0.1959042399</v>
      </c>
      <c r="G97" s="68">
        <f t="shared" si="2"/>
        <v>0.04897605997</v>
      </c>
      <c r="H97" s="69"/>
    </row>
    <row r="98">
      <c r="B98" s="67">
        <v>0.9791666666666666</v>
      </c>
      <c r="C98" s="68">
        <f>Q_dot_walls*-1</f>
        <v>0.04897605997</v>
      </c>
      <c r="D98" s="69"/>
      <c r="E98" s="69">
        <f>D98*Q_load_can*-1</f>
        <v>0</v>
      </c>
      <c r="F98" s="70">
        <f t="shared" si="1"/>
        <v>0.1959042399</v>
      </c>
      <c r="G98" s="68">
        <f t="shared" si="2"/>
        <v>0.04897605997</v>
      </c>
      <c r="H98" s="69"/>
    </row>
    <row r="99">
      <c r="B99" s="67">
        <v>0.9895833333333334</v>
      </c>
      <c r="C99" s="68">
        <f>Q_dot_walls*-1</f>
        <v>0.04897605997</v>
      </c>
      <c r="D99" s="69"/>
      <c r="E99" s="69">
        <f>D99*Q_load_can*-1</f>
        <v>0</v>
      </c>
      <c r="F99" s="70">
        <f t="shared" si="1"/>
        <v>0.1959042399</v>
      </c>
      <c r="G99" s="68">
        <f t="shared" si="2"/>
        <v>0.04897605997</v>
      </c>
      <c r="H99" s="69"/>
    </row>
  </sheetData>
  <mergeCells count="1">
    <mergeCell ref="I46:J46"/>
  </mergeCells>
  <drawing r:id="rId1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FF"/>
    <outlinePr summaryBelow="0" summaryRight="0"/>
  </sheetPr>
  <sheetViews>
    <sheetView workbookViewId="0"/>
  </sheetViews>
  <sheetFormatPr customHeight="1" defaultColWidth="12.63" defaultRowHeight="15.75"/>
  <cols>
    <col customWidth="1" min="1" max="1" width="25.88"/>
    <col customWidth="1" min="2" max="2" width="28.38"/>
    <col customWidth="1" min="5" max="5" width="22.38"/>
    <col customWidth="1" min="6" max="6" width="22.13"/>
  </cols>
  <sheetData>
    <row r="2">
      <c r="B2" s="92" t="s">
        <v>167</v>
      </c>
    </row>
    <row r="3">
      <c r="B3" s="93" t="s">
        <v>168</v>
      </c>
    </row>
    <row r="4">
      <c r="B4" s="5"/>
    </row>
    <row r="5">
      <c r="B5" s="5" t="s">
        <v>169</v>
      </c>
    </row>
    <row r="6">
      <c r="B6" s="5" t="s">
        <v>170</v>
      </c>
      <c r="C6" s="5">
        <v>14.0</v>
      </c>
    </row>
    <row r="7">
      <c r="B7" s="5" t="s">
        <v>171</v>
      </c>
      <c r="C7" s="5">
        <v>14.0</v>
      </c>
    </row>
    <row r="8">
      <c r="B8" s="5" t="s">
        <v>172</v>
      </c>
      <c r="C8" s="54">
        <f>C6*m_per_in</f>
        <v>0.3556</v>
      </c>
      <c r="D8" s="5" t="s">
        <v>173</v>
      </c>
    </row>
    <row r="9">
      <c r="B9" s="5" t="s">
        <v>174</v>
      </c>
      <c r="C9" s="54">
        <f>C7*m_per_in</f>
        <v>0.3556</v>
      </c>
      <c r="D9" s="5" t="s">
        <v>175</v>
      </c>
      <c r="J9" s="94" t="s">
        <v>176</v>
      </c>
      <c r="K9" s="95"/>
      <c r="L9" s="95"/>
      <c r="M9" s="95"/>
      <c r="N9" s="95"/>
      <c r="O9" s="95"/>
      <c r="P9" s="96"/>
    </row>
    <row r="10">
      <c r="B10" s="5" t="s">
        <v>177</v>
      </c>
      <c r="C10" s="41">
        <f>C8*C9</f>
        <v>0.12645136</v>
      </c>
      <c r="D10" s="5" t="s">
        <v>178</v>
      </c>
      <c r="J10" s="97"/>
      <c r="P10" s="98"/>
    </row>
    <row r="11">
      <c r="B11" s="5" t="s">
        <v>179</v>
      </c>
      <c r="C11" s="99">
        <f>'STEP 2'!J9/C10</f>
        <v>7.908179082</v>
      </c>
      <c r="E11" s="5"/>
      <c r="G11" s="5"/>
      <c r="J11" s="97"/>
      <c r="P11" s="98"/>
    </row>
    <row r="12">
      <c r="B12" s="5" t="s">
        <v>180</v>
      </c>
      <c r="C12" s="100">
        <f>C11/m_per_in</f>
        <v>311.3456331</v>
      </c>
      <c r="E12" s="5"/>
      <c r="G12" s="5"/>
      <c r="J12" s="97"/>
      <c r="P12" s="98"/>
    </row>
    <row r="13">
      <c r="E13" s="5"/>
      <c r="G13" s="5"/>
      <c r="J13" s="97"/>
      <c r="P13" s="98"/>
    </row>
    <row r="14">
      <c r="J14" s="97"/>
      <c r="P14" s="98"/>
    </row>
    <row r="15">
      <c r="J15" s="97"/>
      <c r="P15" s="98"/>
    </row>
    <row r="16">
      <c r="E16" s="94" t="s">
        <v>181</v>
      </c>
      <c r="F16" s="95"/>
      <c r="G16" s="95"/>
      <c r="H16" s="101"/>
      <c r="J16" s="97"/>
      <c r="P16" s="98"/>
    </row>
    <row r="17">
      <c r="E17" s="97"/>
      <c r="H17" s="98"/>
      <c r="J17" s="97"/>
      <c r="P17" s="98"/>
    </row>
    <row r="18">
      <c r="E18" s="97"/>
      <c r="H18" s="98"/>
      <c r="J18" s="97"/>
      <c r="P18" s="98"/>
    </row>
    <row r="19">
      <c r="E19" s="97"/>
      <c r="H19" s="98"/>
      <c r="J19" s="97"/>
      <c r="P19" s="98"/>
      <c r="X19" s="102"/>
    </row>
    <row r="20">
      <c r="E20" s="103"/>
      <c r="F20" s="104"/>
      <c r="G20" s="104"/>
      <c r="H20" s="105"/>
      <c r="J20" s="103"/>
      <c r="K20" s="104"/>
      <c r="L20" s="104"/>
      <c r="M20" s="104"/>
      <c r="N20" s="104"/>
      <c r="O20" s="104"/>
      <c r="P20" s="105"/>
      <c r="Q20" s="5"/>
      <c r="R20" s="5"/>
      <c r="S20" s="5"/>
    </row>
    <row r="21">
      <c r="P21" s="5"/>
      <c r="Q21" s="5"/>
      <c r="R21" s="5"/>
      <c r="S21" s="5"/>
    </row>
    <row r="23">
      <c r="Z23" s="40"/>
    </row>
    <row r="24">
      <c r="A24" s="106"/>
      <c r="B24" s="106"/>
      <c r="C24" s="106"/>
      <c r="D24" s="106"/>
      <c r="E24" s="106"/>
      <c r="F24" s="106"/>
      <c r="G24" s="106"/>
      <c r="H24" s="106"/>
      <c r="I24" s="106"/>
      <c r="J24" s="106"/>
      <c r="K24" s="106"/>
      <c r="L24" s="106"/>
      <c r="M24" s="106"/>
      <c r="N24" s="106"/>
      <c r="O24" s="106"/>
      <c r="P24" s="106"/>
      <c r="Q24" s="106"/>
      <c r="R24" s="106"/>
      <c r="S24" s="106"/>
      <c r="T24" s="107"/>
      <c r="U24" s="107"/>
      <c r="V24" s="106"/>
      <c r="W24" s="106"/>
      <c r="X24" s="106"/>
      <c r="Y24" s="106"/>
      <c r="Z24" s="106"/>
      <c r="AA24" s="106"/>
      <c r="AB24" s="106"/>
      <c r="AC24" s="106"/>
      <c r="AD24" s="106"/>
      <c r="AE24" s="106"/>
    </row>
    <row r="25">
      <c r="T25" s="5"/>
      <c r="U25" s="5"/>
    </row>
    <row r="26">
      <c r="B26" s="108" t="s">
        <v>182</v>
      </c>
      <c r="C26" s="109"/>
      <c r="T26" s="5"/>
      <c r="U26" s="5"/>
    </row>
    <row r="27">
      <c r="B27" s="110" t="s">
        <v>183</v>
      </c>
      <c r="C27" s="110">
        <v>0.5</v>
      </c>
      <c r="T27" s="5"/>
      <c r="U27" s="5"/>
    </row>
    <row r="28">
      <c r="B28" s="111" t="s">
        <v>184</v>
      </c>
      <c r="C28" s="112">
        <f>C27*m_per_in</f>
        <v>0.0127</v>
      </c>
      <c r="T28" s="5"/>
      <c r="U28" s="5"/>
    </row>
    <row r="29">
      <c r="B29" s="110" t="s">
        <v>185</v>
      </c>
      <c r="C29" s="110">
        <v>7.0</v>
      </c>
      <c r="T29" s="5"/>
      <c r="U29" s="5"/>
    </row>
    <row r="30">
      <c r="B30" s="111" t="s">
        <v>186</v>
      </c>
      <c r="C30" s="113">
        <f>Depth_block*C28*(C29+1)</f>
        <v>0.03612896</v>
      </c>
    </row>
    <row r="31">
      <c r="B31" s="111" t="s">
        <v>187</v>
      </c>
      <c r="C31" s="113">
        <f>Area_block*2*C29</f>
        <v>1.77031904</v>
      </c>
    </row>
    <row r="33">
      <c r="O33" s="40"/>
      <c r="P33" s="40"/>
      <c r="Q33" s="40"/>
      <c r="R33" s="40"/>
      <c r="S33" s="40"/>
    </row>
    <row r="34">
      <c r="T34" s="40"/>
      <c r="U34" s="40"/>
      <c r="Z34" s="40"/>
      <c r="AA34" s="40"/>
      <c r="AB34" s="40"/>
      <c r="AC34" s="40"/>
      <c r="AD34" s="40"/>
      <c r="AE34" s="40"/>
      <c r="AF34" s="40"/>
      <c r="AG34" s="40"/>
      <c r="AH34" s="40"/>
      <c r="AI34" s="40"/>
      <c r="AJ34" s="40"/>
      <c r="AK34" s="40"/>
      <c r="AL34" s="40"/>
      <c r="AM34" s="40"/>
      <c r="AN34" s="40"/>
      <c r="AO34" s="40"/>
      <c r="AP34" s="40"/>
      <c r="AQ34" s="40"/>
      <c r="AR34" s="40"/>
    </row>
    <row r="36">
      <c r="F36" s="114" t="s">
        <v>188</v>
      </c>
      <c r="G36" s="80">
        <v>1.0</v>
      </c>
      <c r="H36" s="80">
        <v>5.0</v>
      </c>
      <c r="I36" s="80">
        <v>10.0</v>
      </c>
      <c r="J36" s="80">
        <v>20.0</v>
      </c>
      <c r="K36" s="80">
        <v>30.0</v>
      </c>
      <c r="L36" s="80">
        <v>40.0</v>
      </c>
      <c r="M36" s="80">
        <v>50.0</v>
      </c>
      <c r="N36" s="80">
        <v>60.0</v>
      </c>
      <c r="O36" s="80">
        <v>70.0</v>
      </c>
      <c r="P36" s="80">
        <v>80.0</v>
      </c>
      <c r="Q36" s="80">
        <v>90.0</v>
      </c>
      <c r="R36" s="80">
        <v>200.0</v>
      </c>
      <c r="S36" s="80">
        <v>300.0</v>
      </c>
      <c r="T36" s="80">
        <v>400.0</v>
      </c>
      <c r="U36" s="80">
        <v>500.0</v>
      </c>
      <c r="V36" s="80">
        <v>700.0</v>
      </c>
      <c r="W36" s="80">
        <v>800.0</v>
      </c>
    </row>
    <row r="37">
      <c r="F37" s="114" t="s">
        <v>189</v>
      </c>
      <c r="G37" s="115">
        <f>G36*mcube_per_cfm</f>
        <v>0.00047194745</v>
      </c>
      <c r="H37" s="115">
        <f>H36*mcube_per_cfm</f>
        <v>0.00235973725</v>
      </c>
      <c r="I37" s="115">
        <f>I36*mcube_per_cfm</f>
        <v>0.0047194745</v>
      </c>
      <c r="J37" s="115">
        <f>J36*mcube_per_cfm</f>
        <v>0.009438949</v>
      </c>
      <c r="K37" s="115">
        <f>K36*mcube_per_cfm</f>
        <v>0.0141584235</v>
      </c>
      <c r="L37" s="115">
        <f>L36*mcube_per_cfm</f>
        <v>0.018877898</v>
      </c>
      <c r="M37" s="115">
        <f>M36*mcube_per_cfm</f>
        <v>0.0235973725</v>
      </c>
      <c r="N37" s="115">
        <f>N36*mcube_per_cfm</f>
        <v>0.028316847</v>
      </c>
      <c r="O37" s="115">
        <f>O36*mcube_per_cfm</f>
        <v>0.0330363215</v>
      </c>
      <c r="P37" s="115">
        <f>P36*mcube_per_cfm</f>
        <v>0.037755796</v>
      </c>
      <c r="Q37" s="115">
        <f>Q36*mcube_per_cfm</f>
        <v>0.0424752705</v>
      </c>
      <c r="R37" s="115">
        <f>R36*mcube_per_cfm</f>
        <v>0.09438949</v>
      </c>
      <c r="S37" s="115">
        <f>S36*mcube_per_cfm</f>
        <v>0.141584235</v>
      </c>
      <c r="T37" s="115">
        <f>T36*mcube_per_cfm</f>
        <v>0.18877898</v>
      </c>
      <c r="U37" s="115">
        <f>U36*mcube_per_cfm</f>
        <v>0.235973725</v>
      </c>
      <c r="V37" s="115">
        <f>V36*mcube_per_cfm</f>
        <v>0.330363215</v>
      </c>
      <c r="W37" s="115">
        <f>W36*mcube_per_cfm</f>
        <v>0.37755796</v>
      </c>
      <c r="Y37" s="5" t="s">
        <v>190</v>
      </c>
      <c r="Z37" s="5" t="s">
        <v>191</v>
      </c>
      <c r="AA37" s="5" t="s">
        <v>192</v>
      </c>
    </row>
    <row r="38">
      <c r="F38" s="114" t="s">
        <v>193</v>
      </c>
      <c r="G38" s="115">
        <f>G37*dens_air</f>
        <v>0.0006073281271</v>
      </c>
      <c r="H38" s="115">
        <f>H37*dens_air</f>
        <v>0.003036640636</v>
      </c>
      <c r="I38" s="115">
        <f>I37*dens_air</f>
        <v>0.006073281271</v>
      </c>
      <c r="J38" s="115">
        <f>J37*dens_air</f>
        <v>0.01214656254</v>
      </c>
      <c r="K38" s="115">
        <f>K37*dens_air</f>
        <v>0.01821984381</v>
      </c>
      <c r="L38" s="115">
        <f>L37*dens_air</f>
        <v>0.02429312509</v>
      </c>
      <c r="M38" s="115">
        <f>M37*dens_air</f>
        <v>0.03036640636</v>
      </c>
      <c r="N38" s="115">
        <f>N37*dens_air</f>
        <v>0.03643968763</v>
      </c>
      <c r="O38" s="115">
        <f>O37*dens_air</f>
        <v>0.0425129689</v>
      </c>
      <c r="P38" s="115">
        <f>P37*dens_air</f>
        <v>0.04858625017</v>
      </c>
      <c r="Q38" s="115">
        <f>Q37*dens_air</f>
        <v>0.05465953144</v>
      </c>
      <c r="R38" s="115">
        <f>R37*dens_air</f>
        <v>0.1214656254</v>
      </c>
      <c r="S38" s="115">
        <f>S37*dens_air</f>
        <v>0.1821984381</v>
      </c>
      <c r="T38" s="115">
        <f>T37*dens_air</f>
        <v>0.2429312509</v>
      </c>
      <c r="U38" s="115">
        <f>U37*dens_air</f>
        <v>0.3036640636</v>
      </c>
      <c r="V38" s="115">
        <f>V37*dens_air</f>
        <v>0.425129689</v>
      </c>
      <c r="W38" s="115">
        <f>W37*dens_air</f>
        <v>0.4858625017</v>
      </c>
      <c r="Y38" s="80">
        <v>50.0</v>
      </c>
      <c r="Z38" s="40">
        <f>M45</f>
        <v>2.593644999</v>
      </c>
      <c r="AA38" s="31">
        <f>M46</f>
        <v>1.844945173</v>
      </c>
    </row>
    <row r="39">
      <c r="F39" s="114" t="s">
        <v>194</v>
      </c>
      <c r="G39" s="116">
        <f t="shared" ref="G39:W39" si="1">G37/$C$30</f>
        <v>0.01306285733</v>
      </c>
      <c r="H39" s="116">
        <f t="shared" si="1"/>
        <v>0.06531428666</v>
      </c>
      <c r="I39" s="116">
        <f t="shared" si="1"/>
        <v>0.1306285733</v>
      </c>
      <c r="J39" s="116">
        <f t="shared" si="1"/>
        <v>0.2612571466</v>
      </c>
      <c r="K39" s="116">
        <f t="shared" si="1"/>
        <v>0.3918857199</v>
      </c>
      <c r="L39" s="116">
        <f t="shared" si="1"/>
        <v>0.5225142932</v>
      </c>
      <c r="M39" s="116">
        <f t="shared" si="1"/>
        <v>0.6531428666</v>
      </c>
      <c r="N39" s="116">
        <f t="shared" si="1"/>
        <v>0.7837714399</v>
      </c>
      <c r="O39" s="116">
        <f t="shared" si="1"/>
        <v>0.9144000132</v>
      </c>
      <c r="P39" s="116">
        <f t="shared" si="1"/>
        <v>1.045028586</v>
      </c>
      <c r="Q39" s="116">
        <f t="shared" si="1"/>
        <v>1.17565716</v>
      </c>
      <c r="R39" s="116">
        <f t="shared" si="1"/>
        <v>2.612571466</v>
      </c>
      <c r="S39" s="116">
        <f t="shared" si="1"/>
        <v>3.918857199</v>
      </c>
      <c r="T39" s="116">
        <f t="shared" si="1"/>
        <v>5.225142932</v>
      </c>
      <c r="U39" s="116">
        <f t="shared" si="1"/>
        <v>6.531428666</v>
      </c>
      <c r="V39" s="116">
        <f t="shared" si="1"/>
        <v>9.144000132</v>
      </c>
      <c r="W39" s="116">
        <f t="shared" si="1"/>
        <v>10.45028586</v>
      </c>
      <c r="Y39" s="80">
        <v>60.0</v>
      </c>
      <c r="Z39" s="40">
        <f>N45</f>
        <v>2.662263485</v>
      </c>
      <c r="AA39" s="31">
        <f>N46</f>
        <v>2.120787644</v>
      </c>
    </row>
    <row r="40">
      <c r="F40" s="117" t="s">
        <v>195</v>
      </c>
      <c r="G40" s="118">
        <f>G39*$C$8/kin_vis_air</f>
        <v>318.1611005</v>
      </c>
      <c r="H40" s="118">
        <f>H39*$C$8/kin_vis_air</f>
        <v>1590.805502</v>
      </c>
      <c r="I40" s="118">
        <f>I39*$C$8/kin_vis_air</f>
        <v>3181.611005</v>
      </c>
      <c r="J40" s="118">
        <f>J39*$C$8/kin_vis_air</f>
        <v>6363.222009</v>
      </c>
      <c r="K40" s="118">
        <f>K39*$C$8/kin_vis_air</f>
        <v>9544.833014</v>
      </c>
      <c r="L40" s="118">
        <f>L39*$C$8/kin_vis_air</f>
        <v>12726.44402</v>
      </c>
      <c r="M40" s="118">
        <f>M39*$C$8/kin_vis_air</f>
        <v>15908.05502</v>
      </c>
      <c r="N40" s="118">
        <f>N39*$C$8/kin_vis_air</f>
        <v>19089.66603</v>
      </c>
      <c r="O40" s="118">
        <f>O39*$C$8/kin_vis_air</f>
        <v>22271.27703</v>
      </c>
      <c r="P40" s="118">
        <f>P39*$C$8/kin_vis_air</f>
        <v>25452.88804</v>
      </c>
      <c r="Q40" s="118">
        <f>Q39*$C$8/kin_vis_air</f>
        <v>28634.49904</v>
      </c>
      <c r="R40" s="118">
        <f>R39*$C$8/kin_vis_air</f>
        <v>63632.22009</v>
      </c>
      <c r="S40" s="118">
        <f>S39*$C$8/kin_vis_air</f>
        <v>95448.33014</v>
      </c>
      <c r="T40" s="118">
        <f>T39*$C$8/kin_vis_air</f>
        <v>127264.4402</v>
      </c>
      <c r="U40" s="118">
        <f>U39*$C$8/kin_vis_air</f>
        <v>159080.5502</v>
      </c>
      <c r="V40" s="118">
        <f>V39*$C$8/kin_vis_air</f>
        <v>222712.7703</v>
      </c>
      <c r="W40" s="118">
        <f>W39*$C$8/kin_vis_air</f>
        <v>254528.8804</v>
      </c>
      <c r="Y40" s="80">
        <v>70.0</v>
      </c>
      <c r="Z40" s="40">
        <f>O45</f>
        <v>2.716845046</v>
      </c>
      <c r="AA40" s="31">
        <f>O46</f>
        <v>2.317817981</v>
      </c>
    </row>
    <row r="41">
      <c r="F41" s="119" t="s">
        <v>196</v>
      </c>
      <c r="G41" s="120" t="str">
        <f t="shared" ref="G41:W41" si="2">if(G40&lt;(5*10^5),"Laminar","Turbulent")</f>
        <v>Laminar</v>
      </c>
      <c r="H41" s="120" t="str">
        <f t="shared" si="2"/>
        <v>Laminar</v>
      </c>
      <c r="I41" s="120" t="str">
        <f t="shared" si="2"/>
        <v>Laminar</v>
      </c>
      <c r="J41" s="120" t="str">
        <f t="shared" si="2"/>
        <v>Laminar</v>
      </c>
      <c r="K41" s="120" t="str">
        <f t="shared" si="2"/>
        <v>Laminar</v>
      </c>
      <c r="L41" s="120" t="str">
        <f t="shared" si="2"/>
        <v>Laminar</v>
      </c>
      <c r="M41" s="120" t="str">
        <f t="shared" si="2"/>
        <v>Laminar</v>
      </c>
      <c r="N41" s="120" t="str">
        <f t="shared" si="2"/>
        <v>Laminar</v>
      </c>
      <c r="O41" s="120" t="str">
        <f t="shared" si="2"/>
        <v>Laminar</v>
      </c>
      <c r="P41" s="120" t="str">
        <f t="shared" si="2"/>
        <v>Laminar</v>
      </c>
      <c r="Q41" s="120" t="str">
        <f t="shared" si="2"/>
        <v>Laminar</v>
      </c>
      <c r="R41" s="120" t="str">
        <f t="shared" si="2"/>
        <v>Laminar</v>
      </c>
      <c r="S41" s="120" t="str">
        <f t="shared" si="2"/>
        <v>Laminar</v>
      </c>
      <c r="T41" s="120" t="str">
        <f t="shared" si="2"/>
        <v>Laminar</v>
      </c>
      <c r="U41" s="120" t="str">
        <f t="shared" si="2"/>
        <v>Laminar</v>
      </c>
      <c r="V41" s="120" t="str">
        <f t="shared" si="2"/>
        <v>Laminar</v>
      </c>
      <c r="W41" s="120" t="str">
        <f t="shared" si="2"/>
        <v>Laminar</v>
      </c>
      <c r="Y41" s="80">
        <v>80.0</v>
      </c>
      <c r="Z41" s="40">
        <f>P45</f>
        <v>2.761655464</v>
      </c>
      <c r="AA41" s="31">
        <f>P46</f>
        <v>2.465590733</v>
      </c>
    </row>
    <row r="42">
      <c r="F42" s="80" t="s">
        <v>197</v>
      </c>
      <c r="G42" s="70">
        <f>if(G41="Laminar",0.664*G40^0.5*Pr^(1/3),"ERROR)")</f>
        <v>10.56601126</v>
      </c>
      <c r="H42" s="70">
        <f>if(H41="Laminar",0.664*H40^0.5*Pr^(1/3),"ERROR)")</f>
        <v>23.62631942</v>
      </c>
      <c r="I42" s="70">
        <f>if(I41="Laminar",0.664*I40^0.5*Pr^(1/3),"ERROR)")</f>
        <v>33.41266135</v>
      </c>
      <c r="J42" s="70">
        <f>if(J41="Laminar",0.664*J40^0.5*Pr^(1/3),"ERROR)")</f>
        <v>47.25263884</v>
      </c>
      <c r="K42" s="70">
        <f>if(K41="Laminar",0.664*K40^0.5*Pr^(1/3),"ERROR)")</f>
        <v>57.87242708</v>
      </c>
      <c r="L42" s="70">
        <f>if(L41="Laminar",0.664*L40^0.5*Pr^(1/3),"ERROR)")</f>
        <v>66.8253227</v>
      </c>
      <c r="M42" s="70">
        <f>if(M41="Laminar",0.664*M40^0.5*Pr^(1/3),"ERROR)")</f>
        <v>74.71298209</v>
      </c>
      <c r="N42" s="70">
        <f>if(N41="Laminar",0.664*N40^0.5*Pr^(1/3),"ERROR)")</f>
        <v>81.84397126</v>
      </c>
      <c r="O42" s="70">
        <f>if(O41="Laminar",0.664*O40^0.5*Pr^(1/3),"ERROR)")</f>
        <v>88.40159258</v>
      </c>
      <c r="P42" s="70">
        <f>if(P41="Laminar",0.664*P40^0.5*Pr^(1/3),"ERROR)")</f>
        <v>94.50527768</v>
      </c>
      <c r="Q42" s="70">
        <f>if(Q41="Laminar",0.664*Q40^0.5*Pr^(1/3),"ERROR)")</f>
        <v>100.2379841</v>
      </c>
      <c r="R42" s="70">
        <f>if(R41="Laminar",0.664*R40^0.5*Pr^(1/3),"ERROR)")</f>
        <v>149.4259642</v>
      </c>
      <c r="S42" s="70">
        <f>if(S41="Laminar",0.664*S40^0.5*Pr^(1/3),"ERROR)")</f>
        <v>183.0086833</v>
      </c>
      <c r="T42" s="70">
        <f>if(T41="Laminar",0.664*T40^0.5*Pr^(1/3),"ERROR)")</f>
        <v>211.3202251</v>
      </c>
      <c r="U42" s="70">
        <f>if(U41="Laminar",0.664*U40^0.5*Pr^(1/3),"ERROR)")</f>
        <v>236.2631942</v>
      </c>
      <c r="V42" s="70">
        <f>if(V41="Laminar",0.664*V40^0.5*Pr^(1/3),"ERROR)")</f>
        <v>279.5503813</v>
      </c>
      <c r="W42" s="70">
        <f>if(W41="Laminar",0.664*W40^0.5*Pr^(1/3),"ERROR)")</f>
        <v>298.8519284</v>
      </c>
      <c r="Y42" s="5">
        <v>90.0</v>
      </c>
      <c r="Z42" s="40">
        <f>Q45</f>
        <v>2.799331704</v>
      </c>
      <c r="AA42" s="31">
        <f>Q46</f>
        <v>2.580525096</v>
      </c>
    </row>
    <row r="43">
      <c r="F43" s="80" t="s">
        <v>198</v>
      </c>
      <c r="G43" s="70">
        <f>G42*k_air/Length_block</f>
        <v>0.7306474038</v>
      </c>
      <c r="H43" s="70">
        <f>H42*k_air/Length_block</f>
        <v>1.633777262</v>
      </c>
      <c r="I43" s="70">
        <f>I42*k_air/Length_block</f>
        <v>2.310509962</v>
      </c>
      <c r="J43" s="70">
        <f>J42*k_air/Length_block</f>
        <v>3.267554525</v>
      </c>
      <c r="K43" s="70">
        <f>K42*k_air/Length_block</f>
        <v>4.001920646</v>
      </c>
      <c r="L43" s="70">
        <f>L42*k_air/Length_block</f>
        <v>4.621019925</v>
      </c>
      <c r="M43" s="70">
        <f>M42*k_air/Length_block</f>
        <v>5.166457339</v>
      </c>
      <c r="N43" s="70">
        <f>N42*k_air/Length_block</f>
        <v>5.659570454</v>
      </c>
      <c r="O43" s="70">
        <f>O42*k_air/Length_block</f>
        <v>6.113034762</v>
      </c>
      <c r="P43" s="70">
        <f>P42*k_air/Length_block</f>
        <v>6.53510905</v>
      </c>
      <c r="Q43" s="70">
        <f>Q42*k_air/Length_block</f>
        <v>6.931529887</v>
      </c>
      <c r="R43" s="70">
        <f>R42*k_air/Length_block</f>
        <v>10.33291468</v>
      </c>
      <c r="S43" s="70">
        <f>S42*k_air/Length_block</f>
        <v>12.65518426</v>
      </c>
      <c r="T43" s="70">
        <f>T42*k_air/Length_block</f>
        <v>14.61294808</v>
      </c>
      <c r="U43" s="70">
        <f>U42*k_air/Length_block</f>
        <v>16.33777262</v>
      </c>
      <c r="V43" s="70">
        <f>V42*k_air/Length_block</f>
        <v>19.33111327</v>
      </c>
      <c r="W43" s="70">
        <f>W42*k_air/Length_block</f>
        <v>20.66582936</v>
      </c>
      <c r="Y43" s="80">
        <v>200.0</v>
      </c>
      <c r="Z43" s="40">
        <f>R45</f>
        <v>3.012931711</v>
      </c>
      <c r="AA43" s="31">
        <f>R46</f>
        <v>3.086236293</v>
      </c>
    </row>
    <row r="44">
      <c r="Y44" s="80">
        <v>300.0</v>
      </c>
      <c r="Z44" s="40">
        <f>S45</f>
        <v>3.096930524</v>
      </c>
      <c r="AA44" s="31">
        <f>S46</f>
        <v>3.224157529</v>
      </c>
    </row>
    <row r="45">
      <c r="F45" s="5" t="s">
        <v>191</v>
      </c>
      <c r="G45" s="40">
        <f>T_surf-(T_surf-T_inlet)*exp(-G43*$C$31/(G38*cp_air*1000))</f>
        <v>0.4204510596</v>
      </c>
      <c r="H45" s="40">
        <f>T_surf-(T_surf-T_inlet)*exp(-H43*$C$31/(H38*cp_air*1000))</f>
        <v>1.356668846</v>
      </c>
      <c r="I45" s="40">
        <f>T_surf-(T_surf-T_inlet)*exp(-I43*$C$31/(I38*cp_air*1000))</f>
        <v>1.790717179</v>
      </c>
      <c r="J45" s="40">
        <f>T_surf-(T_surf-T_inlet)*exp(-J43*$C$31/(J38*cp_air*1000))</f>
        <v>2.179068829</v>
      </c>
      <c r="K45" s="40">
        <f>T_surf-(T_surf-T_inlet)*exp(-K43*$C$31/(K38*cp_air*1000))</f>
        <v>2.377034138</v>
      </c>
      <c r="L45" s="40">
        <f>T_surf-(T_surf-T_inlet)*exp(-L43*$C$31/(L38*cp_air*1000))</f>
        <v>2.503499576</v>
      </c>
      <c r="M45" s="40">
        <f>T_surf-(T_surf-T_inlet)*exp(-M43*$C$31/(M38*cp_air*1000))</f>
        <v>2.593644999</v>
      </c>
      <c r="N45" s="40">
        <f>T_surf-(T_surf-T_inlet)*exp(-N43*$C$31/(N38*cp_air*1000))</f>
        <v>2.662263485</v>
      </c>
      <c r="O45" s="40">
        <f>T_surf-(T_surf-T_inlet)*exp(-O43*$C$31/(O38*cp_air*1000))</f>
        <v>2.716845046</v>
      </c>
      <c r="P45" s="40">
        <f>T_surf-(T_surf-T_inlet)*exp(-P43*$C$31/(P38*cp_air*1000))</f>
        <v>2.761655464</v>
      </c>
      <c r="Q45" s="40">
        <f>T_surf-(T_surf-T_inlet)*exp(-Q43*$C$31/(Q38*cp_air*1000))</f>
        <v>2.799331704</v>
      </c>
      <c r="R45" s="40">
        <f>T_surf-(T_surf-T_inlet)*exp(-R43*$C$31/(R38*cp_air*1000))</f>
        <v>3.012931711</v>
      </c>
      <c r="S45" s="40">
        <f>T_surf-(T_surf-T_inlet)*exp(-S43*$C$31/(S38*cp_air*1000))</f>
        <v>3.096930524</v>
      </c>
      <c r="T45" s="40">
        <f>T_surf-(T_surf-T_inlet)*exp(-T43*$C$31/(T38*cp_air*1000))</f>
        <v>3.148113739</v>
      </c>
      <c r="U45" s="40">
        <f>T_surf-(T_surf-T_inlet)*exp(-U43*$C$31/(U38*cp_air*1000))</f>
        <v>3.183527642</v>
      </c>
      <c r="V45" s="40">
        <f>T_surf-(T_surf-T_inlet)*exp(-V43*$C$31/(V38*cp_air*1000))</f>
        <v>3.230591054</v>
      </c>
      <c r="W45" s="40">
        <f>T_surf-(T_surf-T_inlet)*exp(-W43*$C$31/(W38*cp_air*1000))</f>
        <v>3.247346761</v>
      </c>
      <c r="Y45" s="80">
        <v>400.0</v>
      </c>
      <c r="Z45" s="40">
        <f>T45</f>
        <v>3.148113739</v>
      </c>
      <c r="AA45" s="31">
        <f>T46</f>
        <v>3.293118147</v>
      </c>
    </row>
    <row r="46">
      <c r="F46" s="5" t="s">
        <v>192</v>
      </c>
      <c r="G46" s="31">
        <f>Avg_passive_cooling_load*-1/(G38*cp_air)+T_inlet</f>
        <v>-79.25274136</v>
      </c>
      <c r="H46" s="31">
        <f>Avg_passive_cooling_load*-1/(H38*cp_air)+T_inlet</f>
        <v>-13.05054827</v>
      </c>
      <c r="I46" s="31">
        <f>Avg_passive_cooling_load*-1/(I38*cp_air)+T_inlet</f>
        <v>-4.775274136</v>
      </c>
      <c r="J46" s="31">
        <f>Avg_passive_cooling_load*-1/(J38*cp_air)+T_inlet</f>
        <v>-0.6376370679</v>
      </c>
      <c r="K46" s="31">
        <f>Avg_passive_cooling_load*-1/(K38*cp_air)+T_inlet</f>
        <v>0.741575288</v>
      </c>
      <c r="L46" s="31">
        <f>Avg_passive_cooling_load*-1/(L38*cp_air)+T_inlet</f>
        <v>1.431181466</v>
      </c>
      <c r="M46" s="31">
        <f>Avg_passive_cooling_load*-1/(M38*cp_air)+T_inlet</f>
        <v>1.844945173</v>
      </c>
      <c r="N46" s="31">
        <f>Avg_passive_cooling_load*-1/(N38*cp_air)+T_inlet</f>
        <v>2.120787644</v>
      </c>
      <c r="O46" s="31">
        <f>Avg_passive_cooling_load*-1/(O38*cp_air)+T_inlet</f>
        <v>2.317817981</v>
      </c>
      <c r="P46" s="31">
        <f>Avg_passive_cooling_load*-1/(P38*cp_air)+T_inlet</f>
        <v>2.465590733</v>
      </c>
      <c r="Q46" s="31">
        <f>Avg_passive_cooling_load*-1/(Q38*cp_air)+T_inlet</f>
        <v>2.580525096</v>
      </c>
      <c r="R46" s="31">
        <f>Avg_passive_cooling_load*-1/(R38*cp_air)+T_inlet</f>
        <v>3.086236293</v>
      </c>
      <c r="S46" s="31">
        <f>Avg_passive_cooling_load*-1/(S38*cp_air)+T_inlet</f>
        <v>3.224157529</v>
      </c>
      <c r="T46" s="31">
        <f>Avg_passive_cooling_load*-1/(T38*cp_air)+T_inlet</f>
        <v>3.293118147</v>
      </c>
      <c r="U46" s="31">
        <f>Avg_passive_cooling_load*-1/(U38*cp_air)+T_inlet</f>
        <v>3.334494517</v>
      </c>
      <c r="V46" s="31">
        <f>Avg_passive_cooling_load*-1/(V38*cp_air)+T_inlet</f>
        <v>3.381781798</v>
      </c>
      <c r="W46" s="31">
        <f>Avg_passive_cooling_load*-1/(W38*cp_air)+T_inlet</f>
        <v>3.396559073</v>
      </c>
      <c r="Y46" s="80">
        <v>500.0</v>
      </c>
      <c r="Z46" s="40">
        <f>U45</f>
        <v>3.183527642</v>
      </c>
      <c r="AA46" s="31">
        <f>U46</f>
        <v>3.334494517</v>
      </c>
    </row>
    <row r="47">
      <c r="F47" s="5" t="s">
        <v>199</v>
      </c>
      <c r="G47" s="70">
        <f t="shared" ref="G47:W47" si="3">G45-G46</f>
        <v>79.67319242</v>
      </c>
      <c r="H47" s="70">
        <f t="shared" si="3"/>
        <v>14.40721712</v>
      </c>
      <c r="I47" s="70">
        <f t="shared" si="3"/>
        <v>6.565991315</v>
      </c>
      <c r="J47" s="70">
        <f t="shared" si="3"/>
        <v>2.816705897</v>
      </c>
      <c r="K47" s="70">
        <f t="shared" si="3"/>
        <v>1.63545885</v>
      </c>
      <c r="L47" s="70">
        <f t="shared" si="3"/>
        <v>1.07231811</v>
      </c>
      <c r="M47" s="70">
        <f t="shared" si="3"/>
        <v>0.748699826</v>
      </c>
      <c r="N47" s="70">
        <f t="shared" si="3"/>
        <v>0.5414758409</v>
      </c>
      <c r="O47" s="70">
        <f t="shared" si="3"/>
        <v>0.3990270656</v>
      </c>
      <c r="P47" s="70">
        <f t="shared" si="3"/>
        <v>0.2960647308</v>
      </c>
      <c r="Q47" s="70">
        <f t="shared" si="3"/>
        <v>0.2188066084</v>
      </c>
      <c r="R47" s="70">
        <f t="shared" si="3"/>
        <v>-0.07330458208</v>
      </c>
      <c r="S47" s="70">
        <f t="shared" si="3"/>
        <v>-0.1272270045</v>
      </c>
      <c r="T47" s="70">
        <f t="shared" si="3"/>
        <v>-0.1450044077</v>
      </c>
      <c r="U47" s="70">
        <f t="shared" si="3"/>
        <v>-0.1509668752</v>
      </c>
      <c r="V47" s="70">
        <f t="shared" si="3"/>
        <v>-0.1511907444</v>
      </c>
      <c r="W47" s="70">
        <f t="shared" si="3"/>
        <v>-0.1492123119</v>
      </c>
      <c r="Y47" s="80">
        <v>700.0</v>
      </c>
      <c r="Z47" s="40">
        <f>V45</f>
        <v>3.230591054</v>
      </c>
      <c r="AA47" s="31">
        <f>V46</f>
        <v>3.381781798</v>
      </c>
    </row>
    <row r="48">
      <c r="H48" s="121" t="s">
        <v>200</v>
      </c>
      <c r="Y48" s="80">
        <v>800.0</v>
      </c>
      <c r="Z48" s="40">
        <f>W45</f>
        <v>3.247346761</v>
      </c>
      <c r="AA48" s="31">
        <f>W46</f>
        <v>3.396559073</v>
      </c>
    </row>
    <row r="49">
      <c r="A49" s="106"/>
      <c r="B49" s="106"/>
      <c r="C49" s="106"/>
      <c r="D49" s="106"/>
      <c r="E49" s="106"/>
      <c r="F49" s="106"/>
      <c r="G49" s="106"/>
      <c r="H49" s="106"/>
      <c r="I49" s="106"/>
      <c r="J49" s="106"/>
      <c r="K49" s="106"/>
      <c r="L49" s="106"/>
      <c r="M49" s="106"/>
      <c r="N49" s="106"/>
      <c r="O49" s="106"/>
      <c r="P49" s="106"/>
      <c r="Q49" s="106"/>
      <c r="R49" s="106"/>
      <c r="S49" s="106"/>
      <c r="T49" s="106"/>
      <c r="U49" s="106"/>
      <c r="V49" s="106"/>
      <c r="W49" s="106"/>
      <c r="X49" s="106"/>
      <c r="Y49" s="106"/>
      <c r="Z49" s="106"/>
      <c r="AA49" s="106"/>
      <c r="AB49" s="106"/>
      <c r="AC49" s="106"/>
    </row>
    <row r="52">
      <c r="B52" s="94" t="s">
        <v>201</v>
      </c>
      <c r="C52" s="122"/>
      <c r="D52" s="123"/>
      <c r="E52" s="40"/>
      <c r="F52" s="124" t="s">
        <v>202</v>
      </c>
      <c r="G52" s="122"/>
      <c r="H52" s="122"/>
      <c r="I52" s="123"/>
      <c r="Q52" s="125" t="s">
        <v>203</v>
      </c>
      <c r="R52" s="126"/>
      <c r="S52" s="122"/>
      <c r="T52" s="95"/>
      <c r="U52" s="95"/>
      <c r="V52" s="95"/>
      <c r="W52" s="122"/>
      <c r="X52" s="95"/>
      <c r="Y52" s="96"/>
    </row>
    <row r="53">
      <c r="B53" s="127" t="s">
        <v>204</v>
      </c>
      <c r="D53" s="98"/>
      <c r="F53" s="97"/>
      <c r="I53" s="98"/>
      <c r="Q53" s="128" t="s">
        <v>205</v>
      </c>
      <c r="R53" s="129"/>
      <c r="V53" s="80"/>
      <c r="W53" s="40"/>
      <c r="Y53" s="98"/>
    </row>
    <row r="54">
      <c r="B54" s="127" t="s">
        <v>206</v>
      </c>
      <c r="D54" s="98"/>
      <c r="F54" s="97"/>
      <c r="I54" s="98"/>
      <c r="Q54" s="130" t="s">
        <v>207</v>
      </c>
      <c r="R54" s="130" t="s">
        <v>208</v>
      </c>
      <c r="Y54" s="98"/>
    </row>
    <row r="55">
      <c r="B55" s="97"/>
      <c r="D55" s="98"/>
      <c r="F55" s="97"/>
      <c r="I55" s="98"/>
      <c r="Q55" s="110">
        <v>0.1</v>
      </c>
      <c r="R55" s="110">
        <v>2.61</v>
      </c>
      <c r="Y55" s="98"/>
    </row>
    <row r="56">
      <c r="B56" s="97"/>
      <c r="D56" s="98"/>
      <c r="F56" s="97"/>
      <c r="I56" s="98"/>
      <c r="Q56" s="130">
        <v>1.0</v>
      </c>
      <c r="R56" s="130">
        <v>2.98</v>
      </c>
      <c r="Y56" s="98"/>
    </row>
    <row r="57">
      <c r="B57" s="97"/>
      <c r="D57" s="98"/>
      <c r="F57" s="97"/>
      <c r="I57" s="98"/>
      <c r="Q57" s="130">
        <v>2.0</v>
      </c>
      <c r="R57" s="130">
        <v>3.39</v>
      </c>
      <c r="Y57" s="98"/>
    </row>
    <row r="58">
      <c r="B58" s="97"/>
      <c r="D58" s="98"/>
      <c r="F58" s="97"/>
      <c r="I58" s="98"/>
      <c r="Q58" s="130">
        <v>3.0</v>
      </c>
      <c r="R58" s="130">
        <v>3.96</v>
      </c>
      <c r="Y58" s="98"/>
    </row>
    <row r="59">
      <c r="B59" s="97"/>
      <c r="D59" s="98"/>
      <c r="F59" s="97"/>
      <c r="I59" s="98"/>
      <c r="Q59" s="130">
        <v>4.0</v>
      </c>
      <c r="R59" s="130">
        <v>4.44</v>
      </c>
      <c r="Y59" s="98"/>
    </row>
    <row r="60">
      <c r="B60" s="97"/>
      <c r="D60" s="98"/>
      <c r="F60" s="97"/>
      <c r="I60" s="98"/>
      <c r="Q60" s="130">
        <v>6.0</v>
      </c>
      <c r="R60" s="130">
        <v>5.14</v>
      </c>
      <c r="Y60" s="98"/>
    </row>
    <row r="61">
      <c r="B61" s="97"/>
      <c r="D61" s="98"/>
      <c r="F61" s="97"/>
      <c r="I61" s="98"/>
      <c r="Q61" s="130">
        <v>8.0</v>
      </c>
      <c r="R61" s="130">
        <v>5.6</v>
      </c>
      <c r="Y61" s="98"/>
    </row>
    <row r="62">
      <c r="B62" s="97"/>
      <c r="D62" s="98"/>
      <c r="F62" s="97"/>
      <c r="I62" s="98"/>
      <c r="Y62" s="98"/>
    </row>
    <row r="63">
      <c r="B63" s="97"/>
      <c r="D63" s="98"/>
      <c r="F63" s="97"/>
      <c r="I63" s="98"/>
      <c r="Y63" s="98"/>
    </row>
    <row r="64">
      <c r="B64" s="97"/>
      <c r="D64" s="98"/>
      <c r="F64" s="97"/>
      <c r="I64" s="98"/>
      <c r="Y64" s="98"/>
    </row>
    <row r="65">
      <c r="B65" s="103"/>
      <c r="C65" s="104"/>
      <c r="D65" s="105"/>
      <c r="F65" s="103"/>
      <c r="G65" s="104"/>
      <c r="H65" s="104"/>
      <c r="I65" s="105"/>
      <c r="S65" s="104"/>
      <c r="T65" s="104"/>
      <c r="U65" s="104"/>
      <c r="V65" s="104"/>
      <c r="W65" s="104"/>
      <c r="X65" s="104"/>
      <c r="Y65" s="105"/>
    </row>
    <row r="68">
      <c r="Q68" s="40"/>
    </row>
    <row r="69">
      <c r="B69" s="108" t="s">
        <v>209</v>
      </c>
      <c r="C69" s="109"/>
      <c r="J69" s="40"/>
    </row>
    <row r="70">
      <c r="B70" s="130" t="s">
        <v>185</v>
      </c>
      <c r="C70" s="130">
        <v>1.0</v>
      </c>
      <c r="E70" s="114" t="s">
        <v>188</v>
      </c>
      <c r="F70" s="80">
        <v>1.0</v>
      </c>
      <c r="G70" s="80">
        <v>5.0</v>
      </c>
      <c r="H70" s="80">
        <v>10.0</v>
      </c>
      <c r="I70" s="80">
        <v>20.0</v>
      </c>
      <c r="J70" s="80">
        <v>21.0</v>
      </c>
      <c r="K70" s="80">
        <v>22.0</v>
      </c>
      <c r="L70" s="80">
        <v>23.0</v>
      </c>
      <c r="M70" s="80">
        <v>24.0</v>
      </c>
      <c r="N70" s="80">
        <v>25.0</v>
      </c>
      <c r="O70" s="80">
        <v>26.0</v>
      </c>
      <c r="P70" s="80">
        <v>27.0</v>
      </c>
      <c r="Q70" s="80">
        <v>28.0</v>
      </c>
      <c r="R70" s="80">
        <v>29.0</v>
      </c>
      <c r="S70" s="80">
        <v>30.0</v>
      </c>
      <c r="T70" s="80">
        <v>31.0</v>
      </c>
      <c r="U70" s="80">
        <v>32.0</v>
      </c>
      <c r="V70" s="80">
        <v>33.0</v>
      </c>
      <c r="W70" s="80">
        <v>34.0</v>
      </c>
      <c r="X70" s="80">
        <v>35.0</v>
      </c>
      <c r="Y70" s="80">
        <v>40.0</v>
      </c>
      <c r="Z70" s="80">
        <v>41.0</v>
      </c>
      <c r="AA70" s="80">
        <v>42.0</v>
      </c>
      <c r="AB70" s="80">
        <v>43.0</v>
      </c>
      <c r="AC70" s="80">
        <v>45.0</v>
      </c>
      <c r="AD70" s="5">
        <v>46.0</v>
      </c>
      <c r="AE70" s="5">
        <v>47.0</v>
      </c>
      <c r="AF70" s="5">
        <v>48.0</v>
      </c>
      <c r="AG70" s="5">
        <v>49.0</v>
      </c>
      <c r="AH70" s="80">
        <v>50.0</v>
      </c>
      <c r="AI70" s="80">
        <v>60.0</v>
      </c>
      <c r="AJ70" s="80">
        <v>70.0</v>
      </c>
      <c r="AK70" s="80">
        <v>80.0</v>
      </c>
      <c r="AL70" s="80">
        <v>90.0</v>
      </c>
    </row>
    <row r="71">
      <c r="B71" s="110" t="s">
        <v>210</v>
      </c>
      <c r="C71" s="110">
        <v>3.0</v>
      </c>
      <c r="E71" s="114" t="s">
        <v>189</v>
      </c>
      <c r="F71" s="131">
        <f>F70*mcube_per_cfm</f>
        <v>0.00047194745</v>
      </c>
      <c r="G71" s="131">
        <f>G70*mcube_per_cfm</f>
        <v>0.00235973725</v>
      </c>
      <c r="H71" s="131">
        <f>H70*mcube_per_cfm</f>
        <v>0.0047194745</v>
      </c>
      <c r="I71" s="131">
        <f>I70*mcube_per_cfm</f>
        <v>0.009438949</v>
      </c>
      <c r="J71" s="131">
        <f>J70*mcube_per_cfm</f>
        <v>0.00991089645</v>
      </c>
      <c r="K71" s="131">
        <f>K70*mcube_per_cfm</f>
        <v>0.0103828439</v>
      </c>
      <c r="L71" s="131">
        <f>L70*mcube_per_cfm</f>
        <v>0.01085479135</v>
      </c>
      <c r="M71" s="131">
        <f>M70*mcube_per_cfm</f>
        <v>0.0113267388</v>
      </c>
      <c r="N71" s="131">
        <f>N70*mcube_per_cfm</f>
        <v>0.01179868625</v>
      </c>
      <c r="O71" s="131">
        <f>O70*mcube_per_cfm</f>
        <v>0.0122706337</v>
      </c>
      <c r="P71" s="131">
        <f>P70*mcube_per_cfm</f>
        <v>0.01274258115</v>
      </c>
      <c r="Q71" s="131">
        <f>Q70*mcube_per_cfm</f>
        <v>0.0132145286</v>
      </c>
      <c r="R71" s="131">
        <f>R70*mcube_per_cfm</f>
        <v>0.01368647605</v>
      </c>
      <c r="S71" s="131">
        <f>S70*mcube_per_cfm</f>
        <v>0.0141584235</v>
      </c>
      <c r="T71" s="131">
        <f>T70*mcube_per_cfm</f>
        <v>0.01463037095</v>
      </c>
      <c r="U71" s="131">
        <f>U70*mcube_per_cfm</f>
        <v>0.0151023184</v>
      </c>
      <c r="V71" s="131">
        <f>V70*mcube_per_cfm</f>
        <v>0.01557426585</v>
      </c>
      <c r="W71" s="131">
        <f>W70*mcube_per_cfm</f>
        <v>0.0160462133</v>
      </c>
      <c r="X71" s="131">
        <f>X70*mcube_per_cfm</f>
        <v>0.01651816075</v>
      </c>
      <c r="Y71" s="131">
        <f>Y70*mcube_per_cfm</f>
        <v>0.018877898</v>
      </c>
      <c r="Z71" s="131">
        <f>Z70*mcube_per_cfm</f>
        <v>0.01934984545</v>
      </c>
      <c r="AA71" s="131">
        <f>AA70*mcube_per_cfm</f>
        <v>0.0198217929</v>
      </c>
      <c r="AB71" s="131">
        <f>AB70*mcube_per_cfm</f>
        <v>0.02029374035</v>
      </c>
      <c r="AC71" s="131">
        <f>AC70*mcube_per_cfm</f>
        <v>0.02123763525</v>
      </c>
      <c r="AD71" s="131">
        <f>AD70*mcube_per_cfm</f>
        <v>0.0217095827</v>
      </c>
      <c r="AE71" s="131">
        <f>AE70*mcube_per_cfm</f>
        <v>0.02218153015</v>
      </c>
      <c r="AF71" s="131">
        <f>AF70*mcube_per_cfm</f>
        <v>0.0226534776</v>
      </c>
      <c r="AG71" s="131">
        <f>AG70*mcube_per_cfm</f>
        <v>0.02312542505</v>
      </c>
      <c r="AH71" s="131">
        <f>AH70*mcube_per_cfm</f>
        <v>0.0235973725</v>
      </c>
      <c r="AI71" s="131">
        <f>AI70*mcube_per_cfm</f>
        <v>0.028316847</v>
      </c>
      <c r="AJ71" s="131">
        <f>AJ70*mcube_per_cfm</f>
        <v>0.0330363215</v>
      </c>
      <c r="AK71" s="131">
        <f>AK70*mcube_per_cfm</f>
        <v>0.037755796</v>
      </c>
      <c r="AL71" s="131">
        <f>AL70*mcube_per_cfm</f>
        <v>0.0424752705</v>
      </c>
    </row>
    <row r="72">
      <c r="B72" s="130" t="s">
        <v>211</v>
      </c>
      <c r="C72" s="130">
        <v>0.04</v>
      </c>
      <c r="E72" s="117" t="s">
        <v>212</v>
      </c>
      <c r="F72" s="131">
        <f>F71*dens_air</f>
        <v>0.0006073281271</v>
      </c>
      <c r="G72" s="131">
        <f>G71*dens_air</f>
        <v>0.003036640636</v>
      </c>
      <c r="H72" s="131">
        <f>H71*dens_air</f>
        <v>0.006073281271</v>
      </c>
      <c r="I72" s="131">
        <f>I71*dens_air</f>
        <v>0.01214656254</v>
      </c>
      <c r="J72" s="131">
        <f>J71*dens_air</f>
        <v>0.01275389067</v>
      </c>
      <c r="K72" s="131">
        <f>K71*dens_air</f>
        <v>0.0133612188</v>
      </c>
      <c r="L72" s="131">
        <f>L71*dens_air</f>
        <v>0.01396854692</v>
      </c>
      <c r="M72" s="131">
        <f>M71*dens_air</f>
        <v>0.01457587505</v>
      </c>
      <c r="N72" s="131">
        <f>N71*dens_air</f>
        <v>0.01518320318</v>
      </c>
      <c r="O72" s="131">
        <f>O71*dens_air</f>
        <v>0.01579053131</v>
      </c>
      <c r="P72" s="131">
        <f>P71*dens_air</f>
        <v>0.01639785943</v>
      </c>
      <c r="Q72" s="131">
        <f>Q71*dens_air</f>
        <v>0.01700518756</v>
      </c>
      <c r="R72" s="131">
        <f>R71*dens_air</f>
        <v>0.01761251569</v>
      </c>
      <c r="S72" s="131">
        <f>S71*dens_air</f>
        <v>0.01821984381</v>
      </c>
      <c r="T72" s="131">
        <f>T71*dens_air</f>
        <v>0.01882717194</v>
      </c>
      <c r="U72" s="131">
        <f>U71*dens_air</f>
        <v>0.01943450007</v>
      </c>
      <c r="V72" s="131">
        <f>V71*dens_air</f>
        <v>0.0200418282</v>
      </c>
      <c r="W72" s="131">
        <f>W71*dens_air</f>
        <v>0.02064915632</v>
      </c>
      <c r="X72" s="131">
        <f>X71*dens_air</f>
        <v>0.02125648445</v>
      </c>
      <c r="Y72" s="131">
        <f>Y71*dens_air</f>
        <v>0.02429312509</v>
      </c>
      <c r="Z72" s="131">
        <f>Z71*dens_air</f>
        <v>0.02490045321</v>
      </c>
      <c r="AA72" s="131">
        <f>AA71*dens_air</f>
        <v>0.02550778134</v>
      </c>
      <c r="AB72" s="131">
        <f>AB71*dens_air</f>
        <v>0.02611510947</v>
      </c>
      <c r="AC72" s="131">
        <f>AC71*dens_air</f>
        <v>0.02732976572</v>
      </c>
      <c r="AD72" s="131">
        <f>AD71*dens_air</f>
        <v>0.02793709385</v>
      </c>
      <c r="AE72" s="131">
        <f>AE71*dens_air</f>
        <v>0.02854442197</v>
      </c>
      <c r="AF72" s="131">
        <f>AF71*dens_air</f>
        <v>0.0291517501</v>
      </c>
      <c r="AG72" s="131">
        <f>AG71*dens_air</f>
        <v>0.02975907823</v>
      </c>
      <c r="AH72" s="131">
        <f>AH71*dens_air</f>
        <v>0.03036640636</v>
      </c>
      <c r="AI72" s="131">
        <f>AI71*dens_air</f>
        <v>0.03643968763</v>
      </c>
      <c r="AJ72" s="131">
        <f>AJ71*dens_air</f>
        <v>0.0425129689</v>
      </c>
      <c r="AK72" s="131">
        <f>AK71*dens_air</f>
        <v>0.04858625017</v>
      </c>
      <c r="AL72" s="131">
        <f>AL71*dens_air</f>
        <v>0.05465953144</v>
      </c>
    </row>
    <row r="73">
      <c r="B73" s="130" t="s">
        <v>213</v>
      </c>
      <c r="C73" s="130">
        <v>0.2</v>
      </c>
      <c r="E73" s="80" t="s">
        <v>214</v>
      </c>
      <c r="F73" s="132">
        <f t="shared" ref="F73:AL73" si="4">F71/$C$77</f>
        <v>0.000004045263857</v>
      </c>
      <c r="G73" s="132">
        <f t="shared" si="4"/>
        <v>0.00002022631929</v>
      </c>
      <c r="H73" s="132">
        <f t="shared" si="4"/>
        <v>0.00004045263857</v>
      </c>
      <c r="I73" s="132">
        <f t="shared" si="4"/>
        <v>0.00008090527714</v>
      </c>
      <c r="J73" s="132">
        <f t="shared" si="4"/>
        <v>0.000084950541</v>
      </c>
      <c r="K73" s="132">
        <f t="shared" si="4"/>
        <v>0.00008899580486</v>
      </c>
      <c r="L73" s="132">
        <f t="shared" si="4"/>
        <v>0.00009304106871</v>
      </c>
      <c r="M73" s="132">
        <f t="shared" si="4"/>
        <v>0.00009708633257</v>
      </c>
      <c r="N73" s="132">
        <f t="shared" si="4"/>
        <v>0.0001011315964</v>
      </c>
      <c r="O73" s="132">
        <f t="shared" si="4"/>
        <v>0.0001051768603</v>
      </c>
      <c r="P73" s="132">
        <f t="shared" si="4"/>
        <v>0.0001092221241</v>
      </c>
      <c r="Q73" s="132">
        <f t="shared" si="4"/>
        <v>0.000113267388</v>
      </c>
      <c r="R73" s="132">
        <f t="shared" si="4"/>
        <v>0.0001173126519</v>
      </c>
      <c r="S73" s="132">
        <f t="shared" si="4"/>
        <v>0.0001213579157</v>
      </c>
      <c r="T73" s="132">
        <f t="shared" si="4"/>
        <v>0.0001254031796</v>
      </c>
      <c r="U73" s="132">
        <f t="shared" si="4"/>
        <v>0.0001294484434</v>
      </c>
      <c r="V73" s="132">
        <f t="shared" si="4"/>
        <v>0.0001334937073</v>
      </c>
      <c r="W73" s="132">
        <f t="shared" si="4"/>
        <v>0.0001375389711</v>
      </c>
      <c r="X73" s="132">
        <f t="shared" si="4"/>
        <v>0.000141584235</v>
      </c>
      <c r="Y73" s="132">
        <f t="shared" si="4"/>
        <v>0.0001618105543</v>
      </c>
      <c r="Z73" s="132">
        <f t="shared" si="4"/>
        <v>0.0001658558181</v>
      </c>
      <c r="AA73" s="132">
        <f t="shared" si="4"/>
        <v>0.000169901082</v>
      </c>
      <c r="AB73" s="132">
        <f t="shared" si="4"/>
        <v>0.0001739463459</v>
      </c>
      <c r="AC73" s="132">
        <f t="shared" si="4"/>
        <v>0.0001820368736</v>
      </c>
      <c r="AD73" s="132">
        <f t="shared" si="4"/>
        <v>0.0001860821374</v>
      </c>
      <c r="AE73" s="132">
        <f t="shared" si="4"/>
        <v>0.0001901274013</v>
      </c>
      <c r="AF73" s="132">
        <f t="shared" si="4"/>
        <v>0.0001941726651</v>
      </c>
      <c r="AG73" s="132">
        <f t="shared" si="4"/>
        <v>0.000198217929</v>
      </c>
      <c r="AH73" s="132">
        <f t="shared" si="4"/>
        <v>0.0002022631929</v>
      </c>
      <c r="AI73" s="132">
        <f t="shared" si="4"/>
        <v>0.0002427158314</v>
      </c>
      <c r="AJ73" s="132">
        <f t="shared" si="4"/>
        <v>0.00028316847</v>
      </c>
      <c r="AK73" s="132">
        <f t="shared" si="4"/>
        <v>0.0003236211086</v>
      </c>
      <c r="AL73" s="132">
        <f t="shared" si="4"/>
        <v>0.0003640737471</v>
      </c>
    </row>
    <row r="74">
      <c r="B74" s="133" t="s">
        <v>215</v>
      </c>
      <c r="C74" s="134">
        <f>C71*m_per_in</f>
        <v>0.0762</v>
      </c>
      <c r="E74" s="80" t="s">
        <v>216</v>
      </c>
      <c r="F74" s="135">
        <f t="shared" ref="F74:AL74" si="5">F72/$C$77</f>
        <v>0.000005205669661</v>
      </c>
      <c r="G74" s="135">
        <f t="shared" si="5"/>
        <v>0.00002602834831</v>
      </c>
      <c r="H74" s="135">
        <f t="shared" si="5"/>
        <v>0.00005205669661</v>
      </c>
      <c r="I74" s="135">
        <f t="shared" si="5"/>
        <v>0.0001041133932</v>
      </c>
      <c r="J74" s="135">
        <f t="shared" si="5"/>
        <v>0.0001093190629</v>
      </c>
      <c r="K74" s="135">
        <f t="shared" si="5"/>
        <v>0.0001145247325</v>
      </c>
      <c r="L74" s="135">
        <f t="shared" si="5"/>
        <v>0.0001197304022</v>
      </c>
      <c r="M74" s="135">
        <f t="shared" si="5"/>
        <v>0.0001249360719</v>
      </c>
      <c r="N74" s="135">
        <f t="shared" si="5"/>
        <v>0.0001301417415</v>
      </c>
      <c r="O74" s="135">
        <f t="shared" si="5"/>
        <v>0.0001353474112</v>
      </c>
      <c r="P74" s="135">
        <f t="shared" si="5"/>
        <v>0.0001405530808</v>
      </c>
      <c r="Q74" s="135">
        <f t="shared" si="5"/>
        <v>0.0001457587505</v>
      </c>
      <c r="R74" s="135">
        <f t="shared" si="5"/>
        <v>0.0001509644202</v>
      </c>
      <c r="S74" s="135">
        <f t="shared" si="5"/>
        <v>0.0001561700898</v>
      </c>
      <c r="T74" s="135">
        <f t="shared" si="5"/>
        <v>0.0001613757595</v>
      </c>
      <c r="U74" s="135">
        <f t="shared" si="5"/>
        <v>0.0001665814292</v>
      </c>
      <c r="V74" s="135">
        <f t="shared" si="5"/>
        <v>0.0001717870988</v>
      </c>
      <c r="W74" s="135">
        <f t="shared" si="5"/>
        <v>0.0001769927685</v>
      </c>
      <c r="X74" s="135">
        <f t="shared" si="5"/>
        <v>0.0001821984381</v>
      </c>
      <c r="Y74" s="135">
        <f t="shared" si="5"/>
        <v>0.0002082267864</v>
      </c>
      <c r="Z74" s="135">
        <f t="shared" si="5"/>
        <v>0.0002134324561</v>
      </c>
      <c r="AA74" s="135">
        <f t="shared" si="5"/>
        <v>0.0002186381258</v>
      </c>
      <c r="AB74" s="135">
        <f t="shared" si="5"/>
        <v>0.0002238437954</v>
      </c>
      <c r="AC74" s="135">
        <f t="shared" si="5"/>
        <v>0.0002342551347</v>
      </c>
      <c r="AD74" s="135">
        <f t="shared" si="5"/>
        <v>0.0002394608044</v>
      </c>
      <c r="AE74" s="135">
        <f t="shared" si="5"/>
        <v>0.0002446664741</v>
      </c>
      <c r="AF74" s="135">
        <f t="shared" si="5"/>
        <v>0.0002498721437</v>
      </c>
      <c r="AG74" s="135">
        <f t="shared" si="5"/>
        <v>0.0002550778134</v>
      </c>
      <c r="AH74" s="135">
        <f t="shared" si="5"/>
        <v>0.0002602834831</v>
      </c>
      <c r="AI74" s="135">
        <f t="shared" si="5"/>
        <v>0.0003123401797</v>
      </c>
      <c r="AJ74" s="135">
        <f t="shared" si="5"/>
        <v>0.0003643968763</v>
      </c>
      <c r="AK74" s="135">
        <f t="shared" si="5"/>
        <v>0.0004164535729</v>
      </c>
      <c r="AL74" s="135">
        <f t="shared" si="5"/>
        <v>0.0004685102695</v>
      </c>
    </row>
    <row r="75">
      <c r="B75" s="133" t="s">
        <v>217</v>
      </c>
      <c r="C75" s="134">
        <f>C72*m_per_in</f>
        <v>0.001016</v>
      </c>
      <c r="E75" s="114" t="s">
        <v>194</v>
      </c>
      <c r="F75" s="136">
        <f t="shared" ref="F75:AL75" si="6">F73/$C$80</f>
        <v>0.01045028586</v>
      </c>
      <c r="G75" s="136">
        <f t="shared" si="6"/>
        <v>0.05225142932</v>
      </c>
      <c r="H75" s="136">
        <f t="shared" si="6"/>
        <v>0.1045028586</v>
      </c>
      <c r="I75" s="136">
        <f t="shared" si="6"/>
        <v>0.2090057173</v>
      </c>
      <c r="J75" s="136">
        <f t="shared" si="6"/>
        <v>0.2194560032</v>
      </c>
      <c r="K75" s="136">
        <f t="shared" si="6"/>
        <v>0.229906289</v>
      </c>
      <c r="L75" s="136">
        <f t="shared" si="6"/>
        <v>0.2403565749</v>
      </c>
      <c r="M75" s="136">
        <f t="shared" si="6"/>
        <v>0.2508068608</v>
      </c>
      <c r="N75" s="136">
        <f t="shared" si="6"/>
        <v>0.2612571466</v>
      </c>
      <c r="O75" s="136">
        <f t="shared" si="6"/>
        <v>0.2717074325</v>
      </c>
      <c r="P75" s="136">
        <f t="shared" si="6"/>
        <v>0.2821577184</v>
      </c>
      <c r="Q75" s="136">
        <f t="shared" si="6"/>
        <v>0.2926080042</v>
      </c>
      <c r="R75" s="136">
        <f t="shared" si="6"/>
        <v>0.3030582901</v>
      </c>
      <c r="S75" s="136">
        <f t="shared" si="6"/>
        <v>0.3135085759</v>
      </c>
      <c r="T75" s="136">
        <f t="shared" si="6"/>
        <v>0.3239588618</v>
      </c>
      <c r="U75" s="136">
        <f t="shared" si="6"/>
        <v>0.3344091477</v>
      </c>
      <c r="V75" s="136">
        <f t="shared" si="6"/>
        <v>0.3448594335</v>
      </c>
      <c r="W75" s="136">
        <f t="shared" si="6"/>
        <v>0.3553097194</v>
      </c>
      <c r="X75" s="136">
        <f t="shared" si="6"/>
        <v>0.3657600053</v>
      </c>
      <c r="Y75" s="136">
        <f t="shared" si="6"/>
        <v>0.4180114346</v>
      </c>
      <c r="Z75" s="136">
        <f t="shared" si="6"/>
        <v>0.4284617205</v>
      </c>
      <c r="AA75" s="136">
        <f t="shared" si="6"/>
        <v>0.4389120063</v>
      </c>
      <c r="AB75" s="136">
        <f t="shared" si="6"/>
        <v>0.4493622922</v>
      </c>
      <c r="AC75" s="136">
        <f t="shared" si="6"/>
        <v>0.4702628639</v>
      </c>
      <c r="AD75" s="136">
        <f t="shared" si="6"/>
        <v>0.4807131498</v>
      </c>
      <c r="AE75" s="136">
        <f t="shared" si="6"/>
        <v>0.4911634356</v>
      </c>
      <c r="AF75" s="136">
        <f t="shared" si="6"/>
        <v>0.5016137215</v>
      </c>
      <c r="AG75" s="136">
        <f t="shared" si="6"/>
        <v>0.5120640074</v>
      </c>
      <c r="AH75" s="136">
        <f t="shared" si="6"/>
        <v>0.5225142932</v>
      </c>
      <c r="AI75" s="136">
        <f t="shared" si="6"/>
        <v>0.6270171519</v>
      </c>
      <c r="AJ75" s="136">
        <f t="shared" si="6"/>
        <v>0.7315200105</v>
      </c>
      <c r="AK75" s="136">
        <f t="shared" si="6"/>
        <v>0.8360228692</v>
      </c>
      <c r="AL75" s="136">
        <f t="shared" si="6"/>
        <v>0.9405257278</v>
      </c>
    </row>
    <row r="76">
      <c r="B76" s="133" t="s">
        <v>218</v>
      </c>
      <c r="C76" s="134">
        <f>C73*m_per_in</f>
        <v>0.00508</v>
      </c>
      <c r="E76" s="117" t="s">
        <v>219</v>
      </c>
      <c r="F76" s="137">
        <f>F75*$C$82/kin_vis_air</f>
        <v>7.037664895</v>
      </c>
      <c r="G76" s="137">
        <f>G75*$C$82/kin_vis_air</f>
        <v>35.18832448</v>
      </c>
      <c r="H76" s="137">
        <f>H75*$C$82/kin_vis_air</f>
        <v>70.37664895</v>
      </c>
      <c r="I76" s="137">
        <f>I75*$C$82/kin_vis_air</f>
        <v>140.7532979</v>
      </c>
      <c r="J76" s="137">
        <f>J75*$C$82/kin_vis_air</f>
        <v>147.7909628</v>
      </c>
      <c r="K76" s="137">
        <f>K75*$C$82/kin_vis_air</f>
        <v>154.8286277</v>
      </c>
      <c r="L76" s="137">
        <f>L75*$C$82/kin_vis_air</f>
        <v>161.8662926</v>
      </c>
      <c r="M76" s="137">
        <f>M75*$C$82/kin_vis_air</f>
        <v>168.9039575</v>
      </c>
      <c r="N76" s="137">
        <f>N75*$C$82/kin_vis_air</f>
        <v>175.9416224</v>
      </c>
      <c r="O76" s="137">
        <f>O75*$C$82/kin_vis_air</f>
        <v>182.9792873</v>
      </c>
      <c r="P76" s="137">
        <f>P75*$C$82/kin_vis_air</f>
        <v>190.0169522</v>
      </c>
      <c r="Q76" s="137">
        <f>Q75*$C$82/kin_vis_air</f>
        <v>197.0546171</v>
      </c>
      <c r="R76" s="137">
        <f>R75*$C$82/kin_vis_air</f>
        <v>204.092282</v>
      </c>
      <c r="S76" s="137">
        <f>S75*$C$82/kin_vis_air</f>
        <v>211.1299469</v>
      </c>
      <c r="T76" s="137">
        <f>T75*$C$82/kin_vis_air</f>
        <v>218.1676118</v>
      </c>
      <c r="U76" s="137">
        <f>U75*$C$82/kin_vis_air</f>
        <v>225.2052766</v>
      </c>
      <c r="V76" s="137">
        <f>V75*$C$82/kin_vis_air</f>
        <v>232.2429415</v>
      </c>
      <c r="W76" s="137">
        <f>W75*$C$82/kin_vis_air</f>
        <v>239.2806064</v>
      </c>
      <c r="X76" s="137">
        <f>X75*$C$82/kin_vis_air</f>
        <v>246.3182713</v>
      </c>
      <c r="Y76" s="137">
        <f>Y75*$C$82/kin_vis_air</f>
        <v>281.5065958</v>
      </c>
      <c r="Z76" s="137">
        <f>Z75*$C$82/kin_vis_air</f>
        <v>288.5442607</v>
      </c>
      <c r="AA76" s="137">
        <f>AA75*$C$82/kin_vis_air</f>
        <v>295.5819256</v>
      </c>
      <c r="AB76" s="137">
        <f>AB75*$C$82/kin_vis_air</f>
        <v>302.6195905</v>
      </c>
      <c r="AC76" s="137">
        <f>AC75*$C$82/kin_vis_air</f>
        <v>316.6949203</v>
      </c>
      <c r="AD76" s="137">
        <f>AD75*$C$82/kin_vis_air</f>
        <v>323.7325852</v>
      </c>
      <c r="AE76" s="137">
        <f>AE75*$C$82/kin_vis_air</f>
        <v>330.7702501</v>
      </c>
      <c r="AF76" s="137">
        <f>AF75*$C$82/kin_vis_air</f>
        <v>337.807915</v>
      </c>
      <c r="AG76" s="137">
        <f>AG75*$C$82/kin_vis_air</f>
        <v>344.8455799</v>
      </c>
      <c r="AH76" s="137">
        <f>AH75*$C$82/kin_vis_air</f>
        <v>351.8832448</v>
      </c>
      <c r="AI76" s="137">
        <f>AI75*$C$82/kin_vis_air</f>
        <v>422.2598937</v>
      </c>
      <c r="AJ76" s="137">
        <f>AJ75*$C$82/kin_vis_air</f>
        <v>492.6365427</v>
      </c>
      <c r="AK76" s="137">
        <f>AK75*$C$82/kin_vis_air</f>
        <v>563.0131916</v>
      </c>
      <c r="AL76" s="137">
        <f>AL75*$C$82/kin_vis_air</f>
        <v>633.3898406</v>
      </c>
    </row>
    <row r="77">
      <c r="B77" s="130" t="s">
        <v>220</v>
      </c>
      <c r="C77" s="138">
        <f>Depth_block/(C75+C76)*2*C70</f>
        <v>116.6666667</v>
      </c>
      <c r="E77" s="119" t="s">
        <v>196</v>
      </c>
      <c r="F77" s="139" t="str">
        <f t="shared" ref="F77:AL77" si="7">if(F76&lt;2300,"L","T")</f>
        <v>L</v>
      </c>
      <c r="G77" s="139" t="str">
        <f t="shared" si="7"/>
        <v>L</v>
      </c>
      <c r="H77" s="139" t="str">
        <f t="shared" si="7"/>
        <v>L</v>
      </c>
      <c r="I77" s="139" t="str">
        <f t="shared" si="7"/>
        <v>L</v>
      </c>
      <c r="J77" s="139" t="str">
        <f t="shared" si="7"/>
        <v>L</v>
      </c>
      <c r="K77" s="139" t="str">
        <f t="shared" si="7"/>
        <v>L</v>
      </c>
      <c r="L77" s="139" t="str">
        <f t="shared" si="7"/>
        <v>L</v>
      </c>
      <c r="M77" s="139" t="str">
        <f t="shared" si="7"/>
        <v>L</v>
      </c>
      <c r="N77" s="139" t="str">
        <f t="shared" si="7"/>
        <v>L</v>
      </c>
      <c r="O77" s="139" t="str">
        <f t="shared" si="7"/>
        <v>L</v>
      </c>
      <c r="P77" s="139" t="str">
        <f t="shared" si="7"/>
        <v>L</v>
      </c>
      <c r="Q77" s="139" t="str">
        <f t="shared" si="7"/>
        <v>L</v>
      </c>
      <c r="R77" s="139" t="str">
        <f t="shared" si="7"/>
        <v>L</v>
      </c>
      <c r="S77" s="139" t="str">
        <f t="shared" si="7"/>
        <v>L</v>
      </c>
      <c r="T77" s="139" t="str">
        <f t="shared" si="7"/>
        <v>L</v>
      </c>
      <c r="U77" s="139" t="str">
        <f t="shared" si="7"/>
        <v>L</v>
      </c>
      <c r="V77" s="139" t="str">
        <f t="shared" si="7"/>
        <v>L</v>
      </c>
      <c r="W77" s="139" t="str">
        <f t="shared" si="7"/>
        <v>L</v>
      </c>
      <c r="X77" s="139" t="str">
        <f t="shared" si="7"/>
        <v>L</v>
      </c>
      <c r="Y77" s="139" t="str">
        <f t="shared" si="7"/>
        <v>L</v>
      </c>
      <c r="Z77" s="139" t="str">
        <f t="shared" si="7"/>
        <v>L</v>
      </c>
      <c r="AA77" s="139" t="str">
        <f t="shared" si="7"/>
        <v>L</v>
      </c>
      <c r="AB77" s="139" t="str">
        <f t="shared" si="7"/>
        <v>L</v>
      </c>
      <c r="AC77" s="139" t="str">
        <f t="shared" si="7"/>
        <v>L</v>
      </c>
      <c r="AD77" s="139" t="str">
        <f t="shared" si="7"/>
        <v>L</v>
      </c>
      <c r="AE77" s="139" t="str">
        <f t="shared" si="7"/>
        <v>L</v>
      </c>
      <c r="AF77" s="139" t="str">
        <f t="shared" si="7"/>
        <v>L</v>
      </c>
      <c r="AG77" s="139" t="str">
        <f t="shared" si="7"/>
        <v>L</v>
      </c>
      <c r="AH77" s="139" t="str">
        <f t="shared" si="7"/>
        <v>L</v>
      </c>
      <c r="AI77" s="139" t="str">
        <f t="shared" si="7"/>
        <v>L</v>
      </c>
      <c r="AJ77" s="139" t="str">
        <f t="shared" si="7"/>
        <v>L</v>
      </c>
      <c r="AK77" s="139" t="str">
        <f t="shared" si="7"/>
        <v>L</v>
      </c>
      <c r="AL77" s="139" t="str">
        <f t="shared" si="7"/>
        <v>L</v>
      </c>
    </row>
    <row r="78">
      <c r="B78" s="130" t="s">
        <v>221</v>
      </c>
      <c r="C78" s="138">
        <f>C73/C71</f>
        <v>0.06666666667</v>
      </c>
      <c r="E78" s="80" t="s">
        <v>222</v>
      </c>
      <c r="F78" s="140">
        <f t="shared" ref="F78:AL78" si="8">if(F77="Turbulent",10*$C$82,0.05*$C$82*F76)</f>
        <v>0.003459806871</v>
      </c>
      <c r="G78" s="140">
        <f t="shared" si="8"/>
        <v>0.01729903436</v>
      </c>
      <c r="H78" s="140">
        <f t="shared" si="8"/>
        <v>0.03459806871</v>
      </c>
      <c r="I78" s="140">
        <f t="shared" si="8"/>
        <v>0.06919613742</v>
      </c>
      <c r="J78" s="140">
        <f t="shared" si="8"/>
        <v>0.07265594429</v>
      </c>
      <c r="K78" s="140">
        <f t="shared" si="8"/>
        <v>0.07611575116</v>
      </c>
      <c r="L78" s="140">
        <f t="shared" si="8"/>
        <v>0.07957555804</v>
      </c>
      <c r="M78" s="140">
        <f t="shared" si="8"/>
        <v>0.08303536491</v>
      </c>
      <c r="N78" s="140">
        <f t="shared" si="8"/>
        <v>0.08649517178</v>
      </c>
      <c r="O78" s="140">
        <f t="shared" si="8"/>
        <v>0.08995497865</v>
      </c>
      <c r="P78" s="140">
        <f t="shared" si="8"/>
        <v>0.09341478552</v>
      </c>
      <c r="Q78" s="140">
        <f t="shared" si="8"/>
        <v>0.09687459239</v>
      </c>
      <c r="R78" s="140">
        <f t="shared" si="8"/>
        <v>0.1003343993</v>
      </c>
      <c r="S78" s="140">
        <f t="shared" si="8"/>
        <v>0.1037942061</v>
      </c>
      <c r="T78" s="140">
        <f t="shared" si="8"/>
        <v>0.107254013</v>
      </c>
      <c r="U78" s="140">
        <f t="shared" si="8"/>
        <v>0.1107138199</v>
      </c>
      <c r="V78" s="140">
        <f t="shared" si="8"/>
        <v>0.1141736267</v>
      </c>
      <c r="W78" s="140">
        <f t="shared" si="8"/>
        <v>0.1176334336</v>
      </c>
      <c r="X78" s="140">
        <f t="shared" si="8"/>
        <v>0.1210932405</v>
      </c>
      <c r="Y78" s="140">
        <f t="shared" si="8"/>
        <v>0.1383922748</v>
      </c>
      <c r="Z78" s="140">
        <f t="shared" si="8"/>
        <v>0.1418520817</v>
      </c>
      <c r="AA78" s="140">
        <f t="shared" si="8"/>
        <v>0.1453118886</v>
      </c>
      <c r="AB78" s="140">
        <f t="shared" si="8"/>
        <v>0.1487716955</v>
      </c>
      <c r="AC78" s="140">
        <f t="shared" si="8"/>
        <v>0.1556913092</v>
      </c>
      <c r="AD78" s="140">
        <f t="shared" si="8"/>
        <v>0.1591511161</v>
      </c>
      <c r="AE78" s="140">
        <f t="shared" si="8"/>
        <v>0.1626109229</v>
      </c>
      <c r="AF78" s="140">
        <f t="shared" si="8"/>
        <v>0.1660707298</v>
      </c>
      <c r="AG78" s="140">
        <f t="shared" si="8"/>
        <v>0.1695305367</v>
      </c>
      <c r="AH78" s="140">
        <f t="shared" si="8"/>
        <v>0.1729903436</v>
      </c>
      <c r="AI78" s="140">
        <f t="shared" si="8"/>
        <v>0.2075884123</v>
      </c>
      <c r="AJ78" s="140">
        <f t="shared" si="8"/>
        <v>0.242186481</v>
      </c>
      <c r="AK78" s="140">
        <f t="shared" si="8"/>
        <v>0.2767845497</v>
      </c>
      <c r="AL78" s="140">
        <f t="shared" si="8"/>
        <v>0.3113826184</v>
      </c>
    </row>
    <row r="79">
      <c r="B79" s="138"/>
      <c r="C79" s="138"/>
      <c r="E79" s="80" t="s">
        <v>223</v>
      </c>
      <c r="F79" s="141" t="str">
        <f>if(F78&lt;Length_block,"Y","N")</f>
        <v>Y</v>
      </c>
      <c r="G79" s="141" t="str">
        <f>if(G78&lt;Length_block,"Y","N")</f>
        <v>Y</v>
      </c>
      <c r="H79" s="141" t="str">
        <f>if(H78&lt;Length_block,"Y","N")</f>
        <v>Y</v>
      </c>
      <c r="I79" s="141" t="str">
        <f>if(I78&lt;Length_block,"Y","N")</f>
        <v>Y</v>
      </c>
      <c r="J79" s="141" t="str">
        <f>if(J78&lt;Length_block,"Y","N")</f>
        <v>Y</v>
      </c>
      <c r="K79" s="141" t="str">
        <f>if(K78&lt;Length_block,"Y","N")</f>
        <v>Y</v>
      </c>
      <c r="L79" s="141" t="str">
        <f>if(L78&lt;Length_block,"Y","N")</f>
        <v>Y</v>
      </c>
      <c r="M79" s="141" t="str">
        <f>if(M78&lt;Length_block,"Y","N")</f>
        <v>Y</v>
      </c>
      <c r="N79" s="141" t="str">
        <f>if(N78&lt;Length_block,"Y","N")</f>
        <v>Y</v>
      </c>
      <c r="O79" s="141" t="str">
        <f>if(O78&lt;Length_block,"Y","N")</f>
        <v>Y</v>
      </c>
      <c r="P79" s="141" t="str">
        <f>if(P78&lt;Length_block,"Y","N")</f>
        <v>Y</v>
      </c>
      <c r="Q79" s="141" t="str">
        <f>if(Q78&lt;Length_block,"Y","N")</f>
        <v>Y</v>
      </c>
      <c r="R79" s="141" t="str">
        <f>if(R78&lt;Length_block,"Y","N")</f>
        <v>Y</v>
      </c>
      <c r="S79" s="141" t="str">
        <f>if(S78&lt;Length_block,"Y","N")</f>
        <v>Y</v>
      </c>
      <c r="T79" s="141" t="str">
        <f>if(T78&lt;Length_block,"Y","N")</f>
        <v>Y</v>
      </c>
      <c r="U79" s="141" t="str">
        <f>if(U78&lt;Length_block,"Y","N")</f>
        <v>Y</v>
      </c>
      <c r="V79" s="141" t="str">
        <f>if(V78&lt;Length_block,"Y","N")</f>
        <v>Y</v>
      </c>
      <c r="W79" s="141" t="str">
        <f>if(W78&lt;Length_block,"Y","N")</f>
        <v>Y</v>
      </c>
      <c r="X79" s="141" t="str">
        <f>if(X78&lt;Length_block,"Y","N")</f>
        <v>Y</v>
      </c>
      <c r="Y79" s="141" t="str">
        <f>if(Y78&lt;Length_block,"Y","N")</f>
        <v>Y</v>
      </c>
      <c r="Z79" s="141" t="str">
        <f>if(Z78&lt;Length_block,"Y","N")</f>
        <v>Y</v>
      </c>
      <c r="AA79" s="141" t="str">
        <f>if(AA78&lt;Length_block,"Y","N")</f>
        <v>Y</v>
      </c>
      <c r="AB79" s="141" t="str">
        <f>if(AB78&lt;Length_block,"Y","N")</f>
        <v>Y</v>
      </c>
      <c r="AC79" s="141" t="str">
        <f>if(AC78&lt;Length_block,"Y","N")</f>
        <v>Y</v>
      </c>
      <c r="AD79" s="141" t="str">
        <f>if(AD78&lt;Length_block,"Y","N")</f>
        <v>Y</v>
      </c>
      <c r="AE79" s="141" t="str">
        <f>if(AE78&lt;Length_block,"Y","N")</f>
        <v>Y</v>
      </c>
      <c r="AF79" s="141" t="str">
        <f>if(AF78&lt;Length_block,"Y","N")</f>
        <v>Y</v>
      </c>
      <c r="AG79" s="141" t="str">
        <f>if(AG78&lt;Length_block,"Y","N")</f>
        <v>Y</v>
      </c>
      <c r="AH79" s="141" t="str">
        <f>if(AH78&lt;Length_block,"Y","N")</f>
        <v>Y</v>
      </c>
      <c r="AI79" s="141" t="str">
        <f>if(AI78&lt;Length_block,"Y","N")</f>
        <v>Y</v>
      </c>
      <c r="AJ79" s="141" t="str">
        <f>if(AJ78&lt;Length_block,"Y","N")</f>
        <v>Y</v>
      </c>
      <c r="AK79" s="141" t="str">
        <f>if(AK78&lt;Length_block,"Y","N")</f>
        <v>Y</v>
      </c>
      <c r="AL79" s="141" t="str">
        <f>if(AL78&lt;Length_block,"Y","N")</f>
        <v>Y</v>
      </c>
    </row>
    <row r="80">
      <c r="B80" s="130" t="s">
        <v>224</v>
      </c>
      <c r="C80" s="138">
        <f>C74*C76</f>
        <v>0.000387096</v>
      </c>
      <c r="E80" s="80" t="s">
        <v>225</v>
      </c>
      <c r="F80" s="141">
        <f>if(F77="T",0.023*F76^0.8*Pr^0.4, if(F77="L",if(F79="Y",$R$55,3.66+(0.065*$C$82/Length_block*F76*Pr)/(1+0.04*($C$82/Length_block*F76*Pr)^(2/3)))))</f>
        <v>2.61</v>
      </c>
      <c r="G80" s="141">
        <f>if(G77="T",0.023*G76^0.8*Pr^0.4, if(G77="L",if(G79="Y",$R$55,3.66+(0.065*$C$82/Length_block*G76*Pr)/(1+0.04*($C$82/Length_block*G76*Pr)^(2/3)))))</f>
        <v>2.61</v>
      </c>
      <c r="H80" s="141">
        <f>if(H77="T",0.023*H76^0.8*Pr^0.4, if(H77="L",if(H79="Y",$R$55,3.66+(0.065*$C$82/Length_block*H76*Pr)/(1+0.04*($C$82/Length_block*H76*Pr)^(2/3)))))</f>
        <v>2.61</v>
      </c>
      <c r="I80" s="141">
        <f>if(I77="T",0.023*I76^0.8*Pr^0.4, if(I77="L",if(I79="Y",$R$55,3.66+(0.065*$C$82/Length_block*I76*Pr)/(1+0.04*($C$82/Length_block*I76*Pr)^(2/3)))))</f>
        <v>2.61</v>
      </c>
      <c r="J80" s="141">
        <f>if(J77="T",0.023*J76^0.8*Pr^0.4, if(J77="L",if(J79="Y",$R$55,3.66+(0.065*$C$82/Length_block*J76*Pr)/(1+0.04*($C$82/Length_block*J76*Pr)^(2/3)))))</f>
        <v>2.61</v>
      </c>
      <c r="K80" s="141">
        <f>if(K77="T",0.023*K76^0.8*Pr^0.4, if(K77="L",if(K79="Y",$R$55,3.66+(0.065*$C$82/Length_block*K76*Pr)/(1+0.04*($C$82/Length_block*K76*Pr)^(2/3)))))</f>
        <v>2.61</v>
      </c>
      <c r="L80" s="141">
        <f>if(L77="T",0.023*L76^0.8*Pr^0.4, if(L77="L",if(L79="Y",$R$55,3.66+(0.065*$C$82/Length_block*L76*Pr)/(1+0.04*($C$82/Length_block*L76*Pr)^(2/3)))))</f>
        <v>2.61</v>
      </c>
      <c r="M80" s="141">
        <f>if(M77="T",0.023*M76^0.8*Pr^0.4, if(M77="L",if(M79="Y",$R$55,3.66+(0.065*$C$82/Length_block*M76*Pr)/(1+0.04*($C$82/Length_block*M76*Pr)^(2/3)))))</f>
        <v>2.61</v>
      </c>
      <c r="N80" s="141">
        <f>if(N77="T",0.023*N76^0.8*Pr^0.4, if(N77="L",if(N79="Y",$R$55,3.66+(0.065*$C$82/Length_block*N76*Pr)/(1+0.04*($C$82/Length_block*N76*Pr)^(2/3)))))</f>
        <v>2.61</v>
      </c>
      <c r="O80" s="141">
        <f>if(O77="T",0.023*O76^0.8*Pr^0.4, if(O77="L",if(O79="Y",$R$55,3.66+(0.065*$C$82/Length_block*O76*Pr)/(1+0.04*($C$82/Length_block*O76*Pr)^(2/3)))))</f>
        <v>2.61</v>
      </c>
      <c r="P80" s="141">
        <f>if(P77="T",0.023*P76^0.8*Pr^0.4, if(P77="L",if(P79="Y",$R$55,3.66+(0.065*$C$82/Length_block*P76*Pr)/(1+0.04*($C$82/Length_block*P76*Pr)^(2/3)))))</f>
        <v>2.61</v>
      </c>
      <c r="Q80" s="141">
        <f>if(Q77="T",0.023*Q76^0.8*Pr^0.4, if(Q77="L",if(Q79="Y",$R$55,3.66+(0.065*$C$82/Length_block*Q76*Pr)/(1+0.04*($C$82/Length_block*Q76*Pr)^(2/3)))))</f>
        <v>2.61</v>
      </c>
      <c r="R80" s="141">
        <f>if(R77="T",0.023*R76^0.8*Pr^0.4, if(R77="L",if(R79="Y",$R$55,3.66+(0.065*$C$82/Length_block*R76*Pr)/(1+0.04*($C$82/Length_block*R76*Pr)^(2/3)))))</f>
        <v>2.61</v>
      </c>
      <c r="S80" s="141">
        <f>if(S77="T",0.023*S76^0.8*Pr^0.4, if(S77="L",if(S79="Y",$R$55,3.66+(0.065*$C$82/Length_block*S76*Pr)/(1+0.04*($C$82/Length_block*S76*Pr)^(2/3)))))</f>
        <v>2.61</v>
      </c>
      <c r="T80" s="141">
        <f>if(T77="T",0.023*T76^0.8*Pr^0.4, if(T77="L",if(T79="Y",$R$55,3.66+(0.065*$C$82/Length_block*T76*Pr)/(1+0.04*($C$82/Length_block*T76*Pr)^(2/3)))))</f>
        <v>2.61</v>
      </c>
      <c r="U80" s="141">
        <f>if(U77="T",0.023*U76^0.8*Pr^0.4, if(U77="L",if(U79="Y",$R$55,3.66+(0.065*$C$82/Length_block*U76*Pr)/(1+0.04*($C$82/Length_block*U76*Pr)^(2/3)))))</f>
        <v>2.61</v>
      </c>
      <c r="V80" s="141">
        <f>if(V77="T",0.023*V76^0.8*Pr^0.4, if(V77="L",if(V79="Y",$R$55,3.66+(0.065*$C$82/Length_block*V76*Pr)/(1+0.04*($C$82/Length_block*V76*Pr)^(2/3)))))</f>
        <v>2.61</v>
      </c>
      <c r="W80" s="141">
        <f>if(W77="T",0.023*W76^0.8*Pr^0.4, if(W77="L",if(W79="Y",$R$55,3.66+(0.065*$C$82/Length_block*W76*Pr)/(1+0.04*($C$82/Length_block*W76*Pr)^(2/3)))))</f>
        <v>2.61</v>
      </c>
      <c r="X80" s="141">
        <f>if(X77="T",0.023*X76^0.8*Pr^0.4, if(X77="L",if(X79="Y",$R$55,3.66+(0.065*$C$82/Length_block*X76*Pr)/(1+0.04*($C$82/Length_block*X76*Pr)^(2/3)))))</f>
        <v>2.61</v>
      </c>
      <c r="Y80" s="141">
        <f>if(Y77="T",0.023*Y76^0.8*Pr^0.4, if(Y77="L",if(Y79="Y",$R$55,3.66+(0.065*$C$82/Length_block*Y76*Pr)/(1+0.04*($C$82/Length_block*Y76*Pr)^(2/3)))))</f>
        <v>2.61</v>
      </c>
      <c r="Z80" s="141">
        <f>if(Z77="T",0.023*Z76^0.8*Pr^0.4, if(Z77="L",if(Z79="Y",$R$55,3.66+(0.065*$C$82/Length_block*Z76*Pr)/(1+0.04*($C$82/Length_block*Z76*Pr)^(2/3)))))</f>
        <v>2.61</v>
      </c>
      <c r="AA80" s="141">
        <f>if(AA77="T",0.023*AA76^0.8*Pr^0.4, if(AA77="L",if(AA79="Y",$R$55,3.66+(0.065*$C$82/Length_block*AA76*Pr)/(1+0.04*($C$82/Length_block*AA76*Pr)^(2/3)))))</f>
        <v>2.61</v>
      </c>
      <c r="AB80" s="141">
        <f>if(AB77="T",0.023*AB76^0.8*Pr^0.4, if(AB77="L",if(AB79="Y",$R$55,3.66+(0.065*$C$82/Length_block*AB76*Pr)/(1+0.04*($C$82/Length_block*AB76*Pr)^(2/3)))))</f>
        <v>2.61</v>
      </c>
      <c r="AC80" s="141">
        <f>if(AC77="T",0.023*AC76^0.8*Pr^0.4, if(AC77="L",if(AC79="Y",$R$55,3.66+(0.065*$C$82/Length_block*AC76*Pr)/(1+0.04*($C$82/Length_block*AC76*Pr)^(2/3)))))</f>
        <v>2.61</v>
      </c>
      <c r="AD80" s="141">
        <f>if(AD77="T",0.023*AD76^0.8*Pr^0.4, if(AD77="L",if(AD79="Y",$R$55,3.66+(0.065*$C$82/Length_block*AD76*Pr)/(1+0.04*($C$82/Length_block*AD76*Pr)^(2/3)))))</f>
        <v>2.61</v>
      </c>
      <c r="AE80" s="141">
        <f>if(AE77="T",0.023*AE76^0.8*Pr^0.4, if(AE77="L",if(AE79="Y",$R$55,3.66+(0.065*$C$82/Length_block*AE76*Pr)/(1+0.04*($C$82/Length_block*AE76*Pr)^(2/3)))))</f>
        <v>2.61</v>
      </c>
      <c r="AF80" s="141">
        <f>if(AF77="T",0.023*AF76^0.8*Pr^0.4, if(AF77="L",if(AF79="Y",$R$55,3.66+(0.065*$C$82/Length_block*AF76*Pr)/(1+0.04*($C$82/Length_block*AF76*Pr)^(2/3)))))</f>
        <v>2.61</v>
      </c>
      <c r="AG80" s="141">
        <f>if(AG77="T",0.023*AG76^0.8*Pr^0.4, if(AG77="L",if(AG79="Y",$R$55,3.66+(0.065*$C$82/Length_block*AG76*Pr)/(1+0.04*($C$82/Length_block*AG76*Pr)^(2/3)))))</f>
        <v>2.61</v>
      </c>
      <c r="AH80" s="141">
        <f>if(AH77="T",0.023*AH76^0.8*Pr^0.4, if(AH77="L",if(AH79="Y",$R$55,3.66+(0.065*$C$82/Length_block*AH76*Pr)/(1+0.04*($C$82/Length_block*AH76*Pr)^(2/3)))))</f>
        <v>2.61</v>
      </c>
      <c r="AI80" s="141">
        <f>if(AI77="T",0.023*AI76^0.8*Pr^0.4, if(AI77="L",if(AI79="Y",$R$55,3.66+(0.065*$C$82/Length_block*AI76*Pr)/(1+0.04*($C$82/Length_block*AI76*Pr)^(2/3)))))</f>
        <v>2.61</v>
      </c>
      <c r="AJ80" s="141">
        <f>if(AJ77="T",0.023*AJ76^0.8*Pr^0.4, if(AJ77="L",if(AJ79="Y",$R$55,3.66+(0.065*$C$82/Length_block*AJ76*Pr)/(1+0.04*($C$82/Length_block*AJ76*Pr)^(2/3)))))</f>
        <v>2.61</v>
      </c>
      <c r="AK80" s="141">
        <f>if(AK77="T",0.023*AK76^0.8*Pr^0.4, if(AK77="L",if(AK79="Y",$R$55,3.66+(0.065*$C$82/Length_block*AK76*Pr)/(1+0.04*($C$82/Length_block*AK76*Pr)^(2/3)))))</f>
        <v>2.61</v>
      </c>
      <c r="AL80" s="141">
        <f>if(AL77="T",0.023*AL76^0.8*Pr^0.4, if(AL77="L",if(AL79="Y",$R$55,3.66+(0.065*$C$82/Length_block*AL76*Pr)/(1+0.04*($C$82/Length_block*AL76*Pr)^(2/3)))))</f>
        <v>2.61</v>
      </c>
    </row>
    <row r="81">
      <c r="B81" s="130" t="s">
        <v>226</v>
      </c>
      <c r="C81" s="138">
        <f>2*C74+C76</f>
        <v>0.15748</v>
      </c>
      <c r="E81" s="80" t="s">
        <v>198</v>
      </c>
      <c r="F81" s="142">
        <f>F80*k_air/$C$82</f>
        <v>6.527483268</v>
      </c>
      <c r="G81" s="142">
        <f>G80*k_air/$C$82</f>
        <v>6.527483268</v>
      </c>
      <c r="H81" s="142">
        <f>H80*k_air/$C$82</f>
        <v>6.527483268</v>
      </c>
      <c r="I81" s="142">
        <f>I80*k_air/$C$82</f>
        <v>6.527483268</v>
      </c>
      <c r="J81" s="142">
        <f>J80*k_air/$C$82</f>
        <v>6.527483268</v>
      </c>
      <c r="K81" s="142">
        <f>K80*k_air/$C$82</f>
        <v>6.527483268</v>
      </c>
      <c r="L81" s="142">
        <f>L80*k_air/$C$82</f>
        <v>6.527483268</v>
      </c>
      <c r="M81" s="142">
        <f>M80*k_air/$C$82</f>
        <v>6.527483268</v>
      </c>
      <c r="N81" s="142">
        <f>N80*k_air/$C$82</f>
        <v>6.527483268</v>
      </c>
      <c r="O81" s="142">
        <f>O80*k_air/$C$82</f>
        <v>6.527483268</v>
      </c>
      <c r="P81" s="142">
        <f>P80*k_air/$C$82</f>
        <v>6.527483268</v>
      </c>
      <c r="Q81" s="142">
        <f>Q80*k_air/$C$82</f>
        <v>6.527483268</v>
      </c>
      <c r="R81" s="142">
        <f>R80*k_air/$C$82</f>
        <v>6.527483268</v>
      </c>
      <c r="S81" s="142">
        <f>S80*k_air/$C$82</f>
        <v>6.527483268</v>
      </c>
      <c r="T81" s="142">
        <f>T80*k_air/$C$82</f>
        <v>6.527483268</v>
      </c>
      <c r="U81" s="142">
        <f>U80*k_air/$C$82</f>
        <v>6.527483268</v>
      </c>
      <c r="V81" s="142">
        <f>V80*k_air/$C$82</f>
        <v>6.527483268</v>
      </c>
      <c r="W81" s="142">
        <f>W80*k_air/$C$82</f>
        <v>6.527483268</v>
      </c>
      <c r="X81" s="142">
        <f>X80*k_air/$C$82</f>
        <v>6.527483268</v>
      </c>
      <c r="Y81" s="142">
        <f>Y80*k_air/$C$82</f>
        <v>6.527483268</v>
      </c>
      <c r="Z81" s="142">
        <f>Z80*k_air/$C$82</f>
        <v>6.527483268</v>
      </c>
      <c r="AA81" s="142">
        <f>AA80*k_air/$C$82</f>
        <v>6.527483268</v>
      </c>
      <c r="AB81" s="142">
        <f>AB80*k_air/$C$82</f>
        <v>6.527483268</v>
      </c>
      <c r="AC81" s="142">
        <f>AC80*k_air/$C$82</f>
        <v>6.527483268</v>
      </c>
      <c r="AD81" s="142">
        <f>AD80*k_air/$C$82</f>
        <v>6.527483268</v>
      </c>
      <c r="AE81" s="142">
        <f>AE80*k_air/$C$82</f>
        <v>6.527483268</v>
      </c>
      <c r="AF81" s="142">
        <f>AF80*k_air/$C$82</f>
        <v>6.527483268</v>
      </c>
      <c r="AG81" s="142">
        <f>AG80*k_air/$C$82</f>
        <v>6.527483268</v>
      </c>
      <c r="AH81" s="142">
        <f>AH80*k_air/$C$82</f>
        <v>6.527483268</v>
      </c>
      <c r="AI81" s="142">
        <f>AI80*k_air/$C$82</f>
        <v>6.527483268</v>
      </c>
      <c r="AJ81" s="142">
        <f>AJ80*k_air/$C$82</f>
        <v>6.527483268</v>
      </c>
      <c r="AK81" s="142">
        <f>AK80*k_air/$C$82</f>
        <v>6.527483268</v>
      </c>
      <c r="AL81" s="142">
        <f>AL80*k_air/$C$82</f>
        <v>6.527483268</v>
      </c>
    </row>
    <row r="82">
      <c r="B82" s="130" t="s">
        <v>227</v>
      </c>
      <c r="C82" s="143">
        <f>4*C80/C81</f>
        <v>0.009832258065</v>
      </c>
      <c r="E82" s="80" t="s">
        <v>228</v>
      </c>
      <c r="F82" s="142">
        <f>sqrt(F81*$C$81/(k_alum*$C$80))</f>
        <v>3.3473573</v>
      </c>
      <c r="G82" s="142">
        <f>sqrt(G81*$C$81/(k_alum*$C$80))</f>
        <v>3.3473573</v>
      </c>
      <c r="H82" s="142">
        <f>sqrt(H81*$C$81/(k_alum*$C$80))</f>
        <v>3.3473573</v>
      </c>
      <c r="I82" s="142">
        <f>sqrt(I81*$C$81/(k_alum*$C$80))</f>
        <v>3.3473573</v>
      </c>
      <c r="J82" s="142">
        <f>sqrt(J81*$C$81/(k_alum*$C$80))</f>
        <v>3.3473573</v>
      </c>
      <c r="K82" s="142">
        <f>sqrt(K81*$C$81/(k_alum*$C$80))</f>
        <v>3.3473573</v>
      </c>
      <c r="L82" s="142">
        <f>sqrt(L81*$C$81/(k_alum*$C$80))</f>
        <v>3.3473573</v>
      </c>
      <c r="M82" s="142">
        <f>sqrt(M81*$C$81/(k_alum*$C$80))</f>
        <v>3.3473573</v>
      </c>
      <c r="N82" s="142">
        <f>sqrt(N81*$C$81/(k_alum*$C$80))</f>
        <v>3.3473573</v>
      </c>
      <c r="O82" s="142">
        <f>sqrt(O81*$C$81/(k_alum*$C$80))</f>
        <v>3.3473573</v>
      </c>
      <c r="P82" s="142">
        <f>sqrt(P81*$C$81/(k_alum*$C$80))</f>
        <v>3.3473573</v>
      </c>
      <c r="Q82" s="142">
        <f>sqrt(Q81*$C$81/(k_alum*$C$80))</f>
        <v>3.3473573</v>
      </c>
      <c r="R82" s="142">
        <f>sqrt(R81*$C$81/(k_alum*$C$80))</f>
        <v>3.3473573</v>
      </c>
      <c r="S82" s="142">
        <f>sqrt(S81*$C$81/(k_alum*$C$80))</f>
        <v>3.3473573</v>
      </c>
      <c r="T82" s="142">
        <f>sqrt(T81*$C$81/(k_alum*$C$80))</f>
        <v>3.3473573</v>
      </c>
      <c r="U82" s="142">
        <f>sqrt(U81*$C$81/(k_alum*$C$80))</f>
        <v>3.3473573</v>
      </c>
      <c r="V82" s="142">
        <f>sqrt(V81*$C$81/(k_alum*$C$80))</f>
        <v>3.3473573</v>
      </c>
      <c r="W82" s="142">
        <f>sqrt(W81*$C$81/(k_alum*$C$80))</f>
        <v>3.3473573</v>
      </c>
      <c r="X82" s="142">
        <f>sqrt(X81*$C$81/(k_alum*$C$80))</f>
        <v>3.3473573</v>
      </c>
      <c r="Y82" s="142">
        <f>sqrt(Y81*$C$81/(k_alum*$C$80))</f>
        <v>3.3473573</v>
      </c>
      <c r="Z82" s="142">
        <f>sqrt(Z81*$C$81/(k_alum*$C$80))</f>
        <v>3.3473573</v>
      </c>
      <c r="AA82" s="142">
        <f>sqrt(AA81*$C$81/(k_alum*$C$80))</f>
        <v>3.3473573</v>
      </c>
      <c r="AB82" s="142">
        <f>sqrt(AB81*$C$81/(k_alum*$C$80))</f>
        <v>3.3473573</v>
      </c>
      <c r="AC82" s="142">
        <f>sqrt(AC81*$C$81/(k_alum*$C$80))</f>
        <v>3.3473573</v>
      </c>
      <c r="AD82" s="142">
        <f>sqrt(AD81*$C$81/(k_alum*$C$80))</f>
        <v>3.3473573</v>
      </c>
      <c r="AE82" s="142">
        <f>sqrt(AE81*$C$81/(k_alum*$C$80))</f>
        <v>3.3473573</v>
      </c>
      <c r="AF82" s="142">
        <f>sqrt(AF81*$C$81/(k_alum*$C$80))</f>
        <v>3.3473573</v>
      </c>
      <c r="AG82" s="142">
        <f>sqrt(AG81*$C$81/(k_alum*$C$80))</f>
        <v>3.3473573</v>
      </c>
      <c r="AH82" s="142">
        <f>sqrt(AH81*$C$81/(k_alum*$C$80))</f>
        <v>3.3473573</v>
      </c>
      <c r="AI82" s="142">
        <f>sqrt(AI81*$C$81/(k_alum*$C$80))</f>
        <v>3.3473573</v>
      </c>
      <c r="AJ82" s="142">
        <f>sqrt(AJ81*$C$81/(k_alum*$C$80))</f>
        <v>3.3473573</v>
      </c>
      <c r="AK82" s="142">
        <f>sqrt(AK81*$C$81/(k_alum*$C$80))</f>
        <v>3.3473573</v>
      </c>
      <c r="AL82" s="142">
        <f>sqrt(AL81*$C$81/(k_alum*$C$80))</f>
        <v>3.3473573</v>
      </c>
    </row>
    <row r="83">
      <c r="B83" s="130" t="s">
        <v>187</v>
      </c>
      <c r="C83" s="144">
        <f>C81*Length_block*C77</f>
        <v>6.533320267</v>
      </c>
      <c r="E83" s="80" t="s">
        <v>229</v>
      </c>
      <c r="F83" s="145">
        <f t="shared" ref="F83:AL83" si="9">tanh(F82*$C$8)/(F82*$C$8)</f>
        <v>0.6978610687</v>
      </c>
      <c r="G83" s="145">
        <f t="shared" si="9"/>
        <v>0.6978610687</v>
      </c>
      <c r="H83" s="145">
        <f t="shared" si="9"/>
        <v>0.6978610687</v>
      </c>
      <c r="I83" s="145">
        <f t="shared" si="9"/>
        <v>0.6978610687</v>
      </c>
      <c r="J83" s="145">
        <f t="shared" si="9"/>
        <v>0.6978610687</v>
      </c>
      <c r="K83" s="145">
        <f t="shared" si="9"/>
        <v>0.6978610687</v>
      </c>
      <c r="L83" s="145">
        <f t="shared" si="9"/>
        <v>0.6978610687</v>
      </c>
      <c r="M83" s="145">
        <f t="shared" si="9"/>
        <v>0.6978610687</v>
      </c>
      <c r="N83" s="145">
        <f t="shared" si="9"/>
        <v>0.6978610687</v>
      </c>
      <c r="O83" s="145">
        <f t="shared" si="9"/>
        <v>0.6978610687</v>
      </c>
      <c r="P83" s="145">
        <f t="shared" si="9"/>
        <v>0.6978610687</v>
      </c>
      <c r="Q83" s="145">
        <f t="shared" si="9"/>
        <v>0.6978610687</v>
      </c>
      <c r="R83" s="145">
        <f t="shared" si="9"/>
        <v>0.6978610687</v>
      </c>
      <c r="S83" s="145">
        <f t="shared" si="9"/>
        <v>0.6978610687</v>
      </c>
      <c r="T83" s="145">
        <f t="shared" si="9"/>
        <v>0.6978610687</v>
      </c>
      <c r="U83" s="145">
        <f t="shared" si="9"/>
        <v>0.6978610687</v>
      </c>
      <c r="V83" s="145">
        <f t="shared" si="9"/>
        <v>0.6978610687</v>
      </c>
      <c r="W83" s="145">
        <f t="shared" si="9"/>
        <v>0.6978610687</v>
      </c>
      <c r="X83" s="145">
        <f t="shared" si="9"/>
        <v>0.6978610687</v>
      </c>
      <c r="Y83" s="145">
        <f t="shared" si="9"/>
        <v>0.6978610687</v>
      </c>
      <c r="Z83" s="145">
        <f t="shared" si="9"/>
        <v>0.6978610687</v>
      </c>
      <c r="AA83" s="145">
        <f t="shared" si="9"/>
        <v>0.6978610687</v>
      </c>
      <c r="AB83" s="145">
        <f t="shared" si="9"/>
        <v>0.6978610687</v>
      </c>
      <c r="AC83" s="145">
        <f t="shared" si="9"/>
        <v>0.6978610687</v>
      </c>
      <c r="AD83" s="145">
        <f t="shared" si="9"/>
        <v>0.6978610687</v>
      </c>
      <c r="AE83" s="145">
        <f t="shared" si="9"/>
        <v>0.6978610687</v>
      </c>
      <c r="AF83" s="145">
        <f t="shared" si="9"/>
        <v>0.6978610687</v>
      </c>
      <c r="AG83" s="145">
        <f t="shared" si="9"/>
        <v>0.6978610687</v>
      </c>
      <c r="AH83" s="145">
        <f t="shared" si="9"/>
        <v>0.6978610687</v>
      </c>
      <c r="AI83" s="145">
        <f t="shared" si="9"/>
        <v>0.6978610687</v>
      </c>
      <c r="AJ83" s="145">
        <f t="shared" si="9"/>
        <v>0.6978610687</v>
      </c>
      <c r="AK83" s="145">
        <f t="shared" si="9"/>
        <v>0.6978610687</v>
      </c>
      <c r="AL83" s="145">
        <f t="shared" si="9"/>
        <v>0.6978610687</v>
      </c>
    </row>
    <row r="84">
      <c r="E84" s="80" t="s">
        <v>191</v>
      </c>
      <c r="F84" s="146">
        <f>T_surf-(T_surf-T_inlet)*exp(-F81*$C$83/(F72*cp_air*1000))</f>
        <v>0</v>
      </c>
      <c r="G84" s="146">
        <f>T_surf-(T_surf-T_inlet)*exp(-G81*$C$83/(G72*cp_air*1000))</f>
        <v>0.000002987058499</v>
      </c>
      <c r="H84" s="146">
        <f>T_surf-(T_surf-T_inlet)*exp(-H81*$C$83/(H72*cp_air*1000))</f>
        <v>0.003233373586</v>
      </c>
      <c r="I84" s="146">
        <f>T_surf-(T_surf-T_inlet)*exp(-I81*$C$83/(I72*cp_air*1000))</f>
        <v>0.1063804848</v>
      </c>
      <c r="J84" s="146">
        <f>T_surf-(T_surf-T_inlet)*exp(-J81*$C$83/(J72*cp_air*1000))</f>
        <v>0.1256347772</v>
      </c>
      <c r="K84" s="146">
        <f>T_surf-(T_surf-T_inlet)*exp(-K81*$C$83/(K72*cp_air*1000))</f>
        <v>0.1461469616</v>
      </c>
      <c r="L84" s="146">
        <f>T_surf-(T_surf-T_inlet)*exp(-L81*$C$83/(L72*cp_air*1000))</f>
        <v>0.1677870392</v>
      </c>
      <c r="M84" s="146">
        <f>T_surf-(T_surf-T_inlet)*exp(-M81*$C$83/(M72*cp_air*1000))</f>
        <v>0.1904274909</v>
      </c>
      <c r="N84" s="146">
        <f>T_surf-(T_surf-T_inlet)*exp(-N81*$C$83/(N72*cp_air*1000))</f>
        <v>0.2139455122</v>
      </c>
      <c r="O84" s="146">
        <f>T_surf-(T_surf-T_inlet)*exp(-O81*$C$83/(O72*cp_air*1000))</f>
        <v>0.2382245115</v>
      </c>
      <c r="P84" s="146">
        <f>T_surf-(T_surf-T_inlet)*exp(-P81*$C$83/(P72*cp_air*1000))</f>
        <v>0.2631550384</v>
      </c>
      <c r="Q84" s="146">
        <f>T_surf-(T_surf-T_inlet)*exp(-Q81*$C$83/(Q72*cp_air*1000))</f>
        <v>0.2886352816</v>
      </c>
      <c r="R84" s="146">
        <f>T_surf-(T_surf-T_inlet)*exp(-R81*$C$83/(R72*cp_air*1000))</f>
        <v>0.3145712473</v>
      </c>
      <c r="S84" s="146">
        <f>T_surf-(T_surf-T_inlet)*exp(-S81*$C$83/(S72*cp_air*1000))</f>
        <v>0.3408767064</v>
      </c>
      <c r="T84" s="146">
        <f>T_surf-(T_surf-T_inlet)*exp(-T81*$C$83/(T72*cp_air*1000))</f>
        <v>0.3674729812</v>
      </c>
      <c r="U84" s="146">
        <f>T_surf-(T_surf-T_inlet)*exp(-U81*$C$83/(U72*cp_air*1000))</f>
        <v>0.3942886221</v>
      </c>
      <c r="V84" s="146">
        <f>T_surf-(T_surf-T_inlet)*exp(-V81*$C$83/(V72*cp_air*1000))</f>
        <v>0.4212590156</v>
      </c>
      <c r="W84" s="146">
        <f>T_surf-(T_surf-T_inlet)*exp(-W81*$C$83/(W72*cp_air*1000))</f>
        <v>0.4483259529</v>
      </c>
      <c r="X84" s="146">
        <f>T_surf-(T_surf-T_inlet)*exp(-X81*$C$83/(X72*cp_air*1000))</f>
        <v>0.4754371808</v>
      </c>
      <c r="Y84" s="146">
        <f>T_surf-(T_surf-T_inlet)*exp(-Y81*$C$83/(Y72*cp_air*1000))</f>
        <v>0.6101898859</v>
      </c>
      <c r="Z84" s="146">
        <f>T_surf-(T_surf-T_inlet)*exp(-Z81*$C$83/(Z72*cp_air*1000))</f>
        <v>0.6367478951</v>
      </c>
      <c r="AA84" s="146">
        <f>T_surf-(T_surf-T_inlet)*exp(-AA81*$C$83/(AA72*cp_air*1000))</f>
        <v>0.6631151635</v>
      </c>
      <c r="AB84" s="146">
        <f>T_surf-(T_surf-T_inlet)*exp(-AB81*$C$83/(AB72*cp_air*1000))</f>
        <v>0.6892722564</v>
      </c>
      <c r="AC84" s="146">
        <f>T_surf-(T_surf-T_inlet)*exp(-AC81*$C$83/(AC72*cp_air*1000))</f>
        <v>0.7408908503</v>
      </c>
      <c r="AD84" s="146">
        <f>T_surf-(T_surf-T_inlet)*exp(-AD81*$C$83/(AD72*cp_air*1000))</f>
        <v>0.766325412</v>
      </c>
      <c r="AE84" s="146">
        <f>T_surf-(T_surf-T_inlet)*exp(-AE81*$C$83/(AE72*cp_air*1000))</f>
        <v>0.7914954748</v>
      </c>
      <c r="AF84" s="146">
        <f>T_surf-(T_surf-T_inlet)*exp(-AF81*$C$83/(AF72*cp_air*1000))</f>
        <v>0.8163921963</v>
      </c>
      <c r="AG84" s="146">
        <f>T_surf-(T_surf-T_inlet)*exp(-AG81*$C$83/(AG72*cp_air*1000))</f>
        <v>0.8410082517</v>
      </c>
      <c r="AH84" s="146">
        <f>T_surf-(T_surf-T_inlet)*exp(-AH81*$C$83/(AH72*cp_air*1000))</f>
        <v>0.8653376756</v>
      </c>
      <c r="AI84" s="146">
        <f>T_surf-(T_surf-T_inlet)*exp(-AI81*$C$83/(AI72*cp_air*1000))</f>
        <v>1.092276738</v>
      </c>
      <c r="AJ84" s="146">
        <f>T_surf-(T_surf-T_inlet)*exp(-AJ81*$C$83/(AJ72*cp_air*1000))</f>
        <v>1.289972919</v>
      </c>
      <c r="AK84" s="146">
        <f>T_surf-(T_surf-T_inlet)*exp(-AK81*$C$83/(AK72*cp_air*1000))</f>
        <v>1.461391324</v>
      </c>
      <c r="AL84" s="146">
        <f>T_surf-(T_surf-T_inlet)*exp(-AL81*$C$83/(AL72*cp_air*1000))</f>
        <v>1.610316111</v>
      </c>
    </row>
    <row r="85">
      <c r="E85" s="80" t="s">
        <v>230</v>
      </c>
      <c r="F85" s="69">
        <f>T_surf-T_i</f>
        <v>5</v>
      </c>
      <c r="G85" s="69">
        <f>T_surf-T_i</f>
        <v>5</v>
      </c>
      <c r="H85" s="69">
        <f>T_surf-T_i</f>
        <v>5</v>
      </c>
      <c r="I85" s="69">
        <f>T_surf-T_i</f>
        <v>5</v>
      </c>
      <c r="J85" s="69">
        <f>T_surf-T_i</f>
        <v>5</v>
      </c>
      <c r="K85" s="69">
        <f>T_surf-T_i</f>
        <v>5</v>
      </c>
      <c r="L85" s="69">
        <f>T_surf-T_i</f>
        <v>5</v>
      </c>
      <c r="M85" s="69">
        <f>T_surf-T_i</f>
        <v>5</v>
      </c>
      <c r="N85" s="69">
        <f>T_surf-T_i</f>
        <v>5</v>
      </c>
      <c r="O85" s="69">
        <f>T_surf-T_i</f>
        <v>5</v>
      </c>
      <c r="P85" s="69">
        <f>T_surf-T_i</f>
        <v>5</v>
      </c>
      <c r="Q85" s="69">
        <f>T_surf-T_i</f>
        <v>5</v>
      </c>
      <c r="R85" s="69">
        <f>T_surf-T_i</f>
        <v>5</v>
      </c>
      <c r="S85" s="69">
        <f>T_surf-T_i</f>
        <v>5</v>
      </c>
      <c r="T85" s="69">
        <f>T_surf-T_i</f>
        <v>5</v>
      </c>
      <c r="U85" s="69">
        <f>T_surf-T_i</f>
        <v>5</v>
      </c>
      <c r="V85" s="69">
        <f>T_surf-T_i</f>
        <v>5</v>
      </c>
      <c r="W85" s="69">
        <f>T_surf-T_i</f>
        <v>5</v>
      </c>
      <c r="X85" s="69">
        <f>T_surf-T_i</f>
        <v>5</v>
      </c>
      <c r="Y85" s="69">
        <f>T_surf-T_i</f>
        <v>5</v>
      </c>
      <c r="Z85" s="69">
        <f>T_surf-T_i</f>
        <v>5</v>
      </c>
      <c r="AA85" s="69">
        <f>T_surf-T_i</f>
        <v>5</v>
      </c>
      <c r="AB85" s="69">
        <f>T_surf-T_i</f>
        <v>5</v>
      </c>
      <c r="AC85" s="69">
        <f>T_surf-T_i</f>
        <v>5</v>
      </c>
      <c r="AD85" s="69">
        <f>T_surf-T_i</f>
        <v>5</v>
      </c>
      <c r="AE85" s="69">
        <f>T_surf-T_i</f>
        <v>5</v>
      </c>
      <c r="AF85" s="69">
        <f>T_surf-T_i</f>
        <v>5</v>
      </c>
      <c r="AG85" s="69">
        <f>T_surf-T_i</f>
        <v>5</v>
      </c>
      <c r="AH85" s="69">
        <f>T_surf-T_i</f>
        <v>5</v>
      </c>
      <c r="AI85" s="69">
        <f>T_surf-T_i</f>
        <v>5</v>
      </c>
      <c r="AJ85" s="69">
        <f>T_surf-T_i</f>
        <v>5</v>
      </c>
      <c r="AK85" s="69">
        <f>T_surf-T_i</f>
        <v>5</v>
      </c>
      <c r="AL85" s="69">
        <f>T_surf-T_i</f>
        <v>5</v>
      </c>
    </row>
    <row r="86">
      <c r="E86" s="80" t="s">
        <v>231</v>
      </c>
      <c r="F86" s="146">
        <f>F84-T_surf</f>
        <v>0</v>
      </c>
      <c r="G86" s="146">
        <f>G84-T_surf</f>
        <v>0.000002987058499</v>
      </c>
      <c r="H86" s="146">
        <f>H84-T_surf</f>
        <v>0.003233373586</v>
      </c>
      <c r="I86" s="146">
        <f>I84-T_surf</f>
        <v>0.1063804848</v>
      </c>
      <c r="J86" s="146">
        <f>J84-T_surf</f>
        <v>0.1256347772</v>
      </c>
      <c r="K86" s="146">
        <f>K84-T_surf</f>
        <v>0.1461469616</v>
      </c>
      <c r="L86" s="146">
        <f>L84-T_surf</f>
        <v>0.1677870392</v>
      </c>
      <c r="M86" s="146">
        <f>M84-T_surf</f>
        <v>0.1904274909</v>
      </c>
      <c r="N86" s="146">
        <f>N84-T_surf</f>
        <v>0.2139455122</v>
      </c>
      <c r="O86" s="146">
        <f>O84-T_surf</f>
        <v>0.2382245115</v>
      </c>
      <c r="P86" s="146">
        <f>P84-T_surf</f>
        <v>0.2631550384</v>
      </c>
      <c r="Q86" s="146">
        <f>Q84-T_surf</f>
        <v>0.2886352816</v>
      </c>
      <c r="R86" s="146">
        <f>R84-T_surf</f>
        <v>0.3145712473</v>
      </c>
      <c r="S86" s="146">
        <f>S84-T_surf</f>
        <v>0.3408767064</v>
      </c>
      <c r="T86" s="146">
        <f>T84-T_surf</f>
        <v>0.3674729812</v>
      </c>
      <c r="U86" s="146">
        <f>U84-T_surf</f>
        <v>0.3942886221</v>
      </c>
      <c r="V86" s="146">
        <f>V84-T_surf</f>
        <v>0.4212590156</v>
      </c>
      <c r="W86" s="146">
        <f>W84-T_surf</f>
        <v>0.4483259529</v>
      </c>
      <c r="X86" s="146">
        <f>X84-T_surf</f>
        <v>0.4754371808</v>
      </c>
      <c r="Y86" s="146">
        <f>Y84-T_surf</f>
        <v>0.6101898859</v>
      </c>
      <c r="Z86" s="146">
        <f>Z84-T_surf</f>
        <v>0.6367478951</v>
      </c>
      <c r="AA86" s="146">
        <f>AA84-T_surf</f>
        <v>0.6631151635</v>
      </c>
      <c r="AB86" s="146">
        <f>AB84-T_surf</f>
        <v>0.6892722564</v>
      </c>
      <c r="AC86" s="146">
        <f>AC84-T_surf</f>
        <v>0.7408908503</v>
      </c>
      <c r="AD86" s="146">
        <f>AD84-T_surf</f>
        <v>0.766325412</v>
      </c>
      <c r="AE86" s="146">
        <f>AE84-T_surf</f>
        <v>0.7914954748</v>
      </c>
      <c r="AF86" s="146">
        <f>AF84-T_surf</f>
        <v>0.8163921963</v>
      </c>
      <c r="AG86" s="146">
        <f>AG84-T_surf</f>
        <v>0.8410082517</v>
      </c>
      <c r="AH86" s="146">
        <f>AH84-T_surf</f>
        <v>0.8653376756</v>
      </c>
      <c r="AI86" s="146">
        <f>AI84-T_surf</f>
        <v>1.092276738</v>
      </c>
      <c r="AJ86" s="146">
        <f>AJ84-T_surf</f>
        <v>1.289972919</v>
      </c>
      <c r="AK86" s="146">
        <f>AK84-T_surf</f>
        <v>1.461391324</v>
      </c>
      <c r="AL86" s="146">
        <f>AL84-T_surf</f>
        <v>1.610316111</v>
      </c>
    </row>
    <row r="87">
      <c r="E87" s="80" t="s">
        <v>232</v>
      </c>
      <c r="F87" s="69">
        <f t="shared" ref="F87:AL87" si="10">(F85-F86)/ln(F85/F86)</f>
        <v>0.07119809611</v>
      </c>
      <c r="G87" s="69">
        <f t="shared" si="10"/>
        <v>0.3489020911</v>
      </c>
      <c r="H87" s="69">
        <f t="shared" si="10"/>
        <v>0.6804184514</v>
      </c>
      <c r="I87" s="69">
        <f t="shared" si="10"/>
        <v>1.271013536</v>
      </c>
      <c r="J87" s="69">
        <f t="shared" si="10"/>
        <v>1.32318437</v>
      </c>
      <c r="K87" s="69">
        <f t="shared" si="10"/>
        <v>1.374024754</v>
      </c>
      <c r="L87" s="69">
        <f t="shared" si="10"/>
        <v>1.423542884</v>
      </c>
      <c r="M87" s="69">
        <f t="shared" si="10"/>
        <v>1.471752679</v>
      </c>
      <c r="N87" s="69">
        <f t="shared" si="10"/>
        <v>1.518672783</v>
      </c>
      <c r="O87" s="69">
        <f t="shared" si="10"/>
        <v>1.564325671</v>
      </c>
      <c r="P87" s="69">
        <f t="shared" si="10"/>
        <v>1.608736854</v>
      </c>
      <c r="Q87" s="69">
        <f t="shared" si="10"/>
        <v>1.651934191</v>
      </c>
      <c r="R87" s="69">
        <f t="shared" si="10"/>
        <v>1.693947299</v>
      </c>
      <c r="S87" s="69">
        <f t="shared" si="10"/>
        <v>1.734807041</v>
      </c>
      <c r="T87" s="69">
        <f t="shared" si="10"/>
        <v>1.77454511</v>
      </c>
      <c r="U87" s="69">
        <f t="shared" si="10"/>
        <v>1.813193667</v>
      </c>
      <c r="V87" s="69">
        <f t="shared" si="10"/>
        <v>1.850785048</v>
      </c>
      <c r="W87" s="69">
        <f t="shared" si="10"/>
        <v>1.887351522</v>
      </c>
      <c r="X87" s="69">
        <f t="shared" si="10"/>
        <v>1.922925098</v>
      </c>
      <c r="Y87" s="69">
        <f t="shared" si="10"/>
        <v>2.08698399</v>
      </c>
      <c r="Z87" s="69">
        <f t="shared" si="10"/>
        <v>2.117241395</v>
      </c>
      <c r="AA87" s="69">
        <f t="shared" si="10"/>
        <v>2.146712837</v>
      </c>
      <c r="AB87" s="69">
        <f t="shared" si="10"/>
        <v>2.175424713</v>
      </c>
      <c r="AC87" s="69">
        <f t="shared" si="10"/>
        <v>2.230671029</v>
      </c>
      <c r="AD87" s="69">
        <f t="shared" si="10"/>
        <v>2.257253962</v>
      </c>
      <c r="AE87" s="69">
        <f t="shared" si="10"/>
        <v>2.283174327</v>
      </c>
      <c r="AF87" s="69">
        <f t="shared" si="10"/>
        <v>2.308454276</v>
      </c>
      <c r="AG87" s="69">
        <f t="shared" si="10"/>
        <v>2.33311515</v>
      </c>
      <c r="AH87" s="69">
        <f t="shared" si="10"/>
        <v>2.357177506</v>
      </c>
      <c r="AI87" s="69">
        <f t="shared" si="10"/>
        <v>2.568887041</v>
      </c>
      <c r="AJ87" s="69">
        <f t="shared" si="10"/>
        <v>2.738397834</v>
      </c>
      <c r="AK87" s="69">
        <f t="shared" si="10"/>
        <v>2.876803091</v>
      </c>
      <c r="AL87" s="69">
        <f t="shared" si="10"/>
        <v>2.991757916</v>
      </c>
    </row>
    <row r="88">
      <c r="E88" s="147" t="s">
        <v>233</v>
      </c>
      <c r="F88" s="69">
        <f t="shared" ref="F88:AL88" si="11">F83*F81*$C$83*(F87)</f>
        <v>2.11893223</v>
      </c>
      <c r="G88" s="69">
        <f t="shared" si="11"/>
        <v>10.38370303</v>
      </c>
      <c r="H88" s="69">
        <f t="shared" si="11"/>
        <v>20.24998793</v>
      </c>
      <c r="I88" s="69">
        <f t="shared" si="11"/>
        <v>37.82673547</v>
      </c>
      <c r="J88" s="69">
        <f t="shared" si="11"/>
        <v>39.37939582</v>
      </c>
      <c r="K88" s="69">
        <f t="shared" si="11"/>
        <v>40.89246055</v>
      </c>
      <c r="L88" s="69">
        <f t="shared" si="11"/>
        <v>42.36617358</v>
      </c>
      <c r="M88" s="69">
        <f t="shared" si="11"/>
        <v>43.80094914</v>
      </c>
      <c r="N88" s="69">
        <f t="shared" si="11"/>
        <v>45.19734212</v>
      </c>
      <c r="O88" s="69">
        <f t="shared" si="11"/>
        <v>46.55602136</v>
      </c>
      <c r="P88" s="69">
        <f t="shared" si="11"/>
        <v>47.87774612</v>
      </c>
      <c r="Q88" s="69">
        <f t="shared" si="11"/>
        <v>49.16334554</v>
      </c>
      <c r="R88" s="69">
        <f t="shared" si="11"/>
        <v>50.41370098</v>
      </c>
      <c r="S88" s="69">
        <f t="shared" si="11"/>
        <v>51.62973104</v>
      </c>
      <c r="T88" s="69">
        <f t="shared" si="11"/>
        <v>52.8123789</v>
      </c>
      <c r="U88" s="69">
        <f t="shared" si="11"/>
        <v>53.96260168</v>
      </c>
      <c r="V88" s="69">
        <f t="shared" si="11"/>
        <v>55.08136176</v>
      </c>
      <c r="W88" s="69">
        <f t="shared" si="11"/>
        <v>56.16961953</v>
      </c>
      <c r="X88" s="69">
        <f t="shared" si="11"/>
        <v>57.22832756</v>
      </c>
      <c r="Y88" s="69">
        <f t="shared" si="11"/>
        <v>62.11089738</v>
      </c>
      <c r="Z88" s="69">
        <f t="shared" si="11"/>
        <v>63.0113904</v>
      </c>
      <c r="AA88" s="69">
        <f t="shared" si="11"/>
        <v>63.88849237</v>
      </c>
      <c r="AB88" s="69">
        <f t="shared" si="11"/>
        <v>64.74298878</v>
      </c>
      <c r="AC88" s="69">
        <f t="shared" si="11"/>
        <v>66.38717883</v>
      </c>
      <c r="AD88" s="69">
        <f t="shared" si="11"/>
        <v>67.17831561</v>
      </c>
      <c r="AE88" s="69">
        <f t="shared" si="11"/>
        <v>67.94973367</v>
      </c>
      <c r="AF88" s="69">
        <f t="shared" si="11"/>
        <v>68.70209224</v>
      </c>
      <c r="AG88" s="69">
        <f t="shared" si="11"/>
        <v>69.43602651</v>
      </c>
      <c r="AH88" s="69">
        <f t="shared" si="11"/>
        <v>70.15214819</v>
      </c>
      <c r="AI88" s="69">
        <f t="shared" si="11"/>
        <v>76.4528526</v>
      </c>
      <c r="AJ88" s="69">
        <f t="shared" si="11"/>
        <v>81.49767685</v>
      </c>
      <c r="AK88" s="69">
        <f t="shared" si="11"/>
        <v>85.61676677</v>
      </c>
      <c r="AL88" s="69">
        <f t="shared" si="11"/>
        <v>89.0379465</v>
      </c>
    </row>
    <row r="89">
      <c r="E89" s="80" t="s">
        <v>234</v>
      </c>
      <c r="F89" s="70">
        <f>F88-'STEP 2'!$J$5*1000</f>
        <v>-48.39042553</v>
      </c>
      <c r="G89" s="70">
        <f>G88-'STEP 2'!$J$5*1000</f>
        <v>-40.12565473</v>
      </c>
      <c r="H89" s="70">
        <f>H88-'STEP 2'!$J$5*1000</f>
        <v>-30.25936983</v>
      </c>
      <c r="I89" s="70">
        <f>I88-'STEP 2'!$J$5*1000</f>
        <v>-12.68262229</v>
      </c>
      <c r="J89" s="70">
        <f>J88-'STEP 2'!$J$5*1000</f>
        <v>-11.12996194</v>
      </c>
      <c r="K89" s="70">
        <f>K88-'STEP 2'!$J$5*1000</f>
        <v>-9.616897214</v>
      </c>
      <c r="L89" s="70">
        <f>L88-'STEP 2'!$J$5*1000</f>
        <v>-8.143184182</v>
      </c>
      <c r="M89" s="70">
        <f>M88-'STEP 2'!$J$5*1000</f>
        <v>-6.708408619</v>
      </c>
      <c r="N89" s="70">
        <f>N88-'STEP 2'!$J$5*1000</f>
        <v>-5.312015642</v>
      </c>
      <c r="O89" s="70">
        <f>O88-'STEP 2'!$J$5*1000</f>
        <v>-3.9533364</v>
      </c>
      <c r="P89" s="70">
        <f>P88-'STEP 2'!$J$5*1000</f>
        <v>-2.63161164</v>
      </c>
      <c r="Q89" s="70">
        <f>Q88-'STEP 2'!$J$5*1000</f>
        <v>-1.346012225</v>
      </c>
      <c r="R89" s="70">
        <f>R88-'STEP 2'!$J$5*1000</f>
        <v>-0.09565678348</v>
      </c>
      <c r="S89" s="70">
        <f>S88-'STEP 2'!$J$5*1000</f>
        <v>1.120373283</v>
      </c>
      <c r="T89" s="70">
        <f>T88-'STEP 2'!$J$5*1000</f>
        <v>2.303021134</v>
      </c>
      <c r="U89" s="70">
        <f>U88-'STEP 2'!$J$5*1000</f>
        <v>3.453243917</v>
      </c>
      <c r="V89" s="70">
        <f>V88-'STEP 2'!$J$5*1000</f>
        <v>4.572003998</v>
      </c>
      <c r="W89" s="70">
        <f>W88-'STEP 2'!$J$5*1000</f>
        <v>5.660261771</v>
      </c>
      <c r="X89" s="70">
        <f>X88-'STEP 2'!$J$5*1000</f>
        <v>6.718969802</v>
      </c>
      <c r="Y89" s="70">
        <f>Y88-'STEP 2'!$J$5*1000</f>
        <v>11.60153962</v>
      </c>
      <c r="Z89" s="70">
        <f>Z88-'STEP 2'!$J$5*1000</f>
        <v>12.50203264</v>
      </c>
      <c r="AA89" s="70">
        <f>AA88-'STEP 2'!$J$5*1000</f>
        <v>13.37913461</v>
      </c>
      <c r="AB89" s="70">
        <f>AB88-'STEP 2'!$J$5*1000</f>
        <v>14.23363102</v>
      </c>
      <c r="AC89" s="70">
        <f>AC88-'STEP 2'!$J$5*1000</f>
        <v>15.87782107</v>
      </c>
      <c r="AD89" s="70">
        <f>AD88-'STEP 2'!$J$5*1000</f>
        <v>16.66895784</v>
      </c>
      <c r="AE89" s="70">
        <f>AE88-'STEP 2'!$J$5*1000</f>
        <v>17.44037591</v>
      </c>
      <c r="AF89" s="70">
        <f>AF88-'STEP 2'!$J$5*1000</f>
        <v>18.19273448</v>
      </c>
      <c r="AG89" s="70">
        <f>AG88-'STEP 2'!$J$5*1000</f>
        <v>18.92666875</v>
      </c>
      <c r="AH89" s="70">
        <f>AH88-'STEP 2'!$J$5*1000</f>
        <v>19.64279043</v>
      </c>
      <c r="AI89" s="70">
        <f>AI88-'STEP 2'!$J$5*1000</f>
        <v>25.94349484</v>
      </c>
      <c r="AJ89" s="70">
        <f>AJ88-'STEP 2'!$J$5*1000</f>
        <v>30.98831908</v>
      </c>
      <c r="AK89" s="70">
        <f>AK88-'STEP 2'!$J$5*1000</f>
        <v>35.10740901</v>
      </c>
      <c r="AL89" s="70">
        <f>AL88-'STEP 2'!$J$5*1000</f>
        <v>38.52858874</v>
      </c>
    </row>
  </sheetData>
  <mergeCells count="2">
    <mergeCell ref="B2:O2"/>
    <mergeCell ref="Q53:R53"/>
  </mergeCells>
  <conditionalFormatting sqref="F89:AL89">
    <cfRule type="cellIs" dxfId="5" priority="1" operator="greaterThan">
      <formula>0</formula>
    </cfRule>
  </conditionalFormatting>
  <drawing r:id="rId1"/>
  <tableParts count="2">
    <tablePart r:id="rId4"/>
    <tablePart r:id="rId5"/>
  </tableParts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FF"/>
    <outlinePr summaryBelow="0" summaryRight="0"/>
  </sheetPr>
  <sheetViews>
    <sheetView workbookViewId="0"/>
  </sheetViews>
  <sheetFormatPr customHeight="1" defaultColWidth="12.63" defaultRowHeight="15.75"/>
  <cols>
    <col customWidth="1" min="1" max="1" width="25.88"/>
    <col customWidth="1" min="2" max="2" width="28.38"/>
    <col customWidth="1" min="3" max="3" width="10.0"/>
    <col customWidth="1" min="5" max="5" width="28.63"/>
    <col customWidth="1" hidden="1" min="6" max="6" width="22.13"/>
    <col hidden="1" min="7" max="8" width="12.63"/>
    <col hidden="1" min="10" max="18" width="12.63"/>
    <col hidden="1" min="20" max="30" width="12.63"/>
    <col hidden="1" min="32" max="32" width="12.63"/>
    <col hidden="1" min="36" max="42" width="12.63"/>
  </cols>
  <sheetData>
    <row r="1">
      <c r="Q1" s="110">
        <v>0.1</v>
      </c>
      <c r="R1" s="110">
        <v>2.61</v>
      </c>
    </row>
    <row r="2">
      <c r="B2" s="92" t="s">
        <v>235</v>
      </c>
      <c r="Q2" s="5">
        <v>0.4</v>
      </c>
      <c r="R2" s="5">
        <v>2.734</v>
      </c>
    </row>
    <row r="3">
      <c r="B3" s="93"/>
      <c r="I3" s="31">
        <f>0.27+3*0.246+5*0.043</f>
        <v>1.223</v>
      </c>
      <c r="R3" s="130">
        <v>2.98</v>
      </c>
    </row>
    <row r="4">
      <c r="R4" s="130">
        <v>3.39</v>
      </c>
    </row>
    <row r="5">
      <c r="R5" s="130">
        <v>3.96</v>
      </c>
    </row>
    <row r="6">
      <c r="B6" s="148" t="s">
        <v>236</v>
      </c>
      <c r="C6" s="82"/>
      <c r="E6" s="149" t="s">
        <v>237</v>
      </c>
      <c r="F6" s="149" t="s">
        <v>238</v>
      </c>
      <c r="Q6" s="130">
        <v>1.0</v>
      </c>
      <c r="R6" s="130">
        <v>4.44</v>
      </c>
    </row>
    <row r="7">
      <c r="B7" s="150" t="s">
        <v>170</v>
      </c>
      <c r="C7" s="73">
        <v>6.0</v>
      </c>
      <c r="E7" s="149" t="s">
        <v>239</v>
      </c>
      <c r="F7" s="149" t="s">
        <v>240</v>
      </c>
      <c r="Q7" s="130">
        <v>2.0</v>
      </c>
      <c r="R7" s="130">
        <v>5.14</v>
      </c>
    </row>
    <row r="8">
      <c r="B8" s="150" t="s">
        <v>171</v>
      </c>
      <c r="C8" s="150">
        <v>15.748</v>
      </c>
      <c r="Q8" s="130">
        <v>3.0</v>
      </c>
      <c r="R8" s="130">
        <v>5.6</v>
      </c>
    </row>
    <row r="9">
      <c r="B9" s="150" t="s">
        <v>172</v>
      </c>
      <c r="C9" s="151">
        <f>C7*m_per_in</f>
        <v>0.1524</v>
      </c>
      <c r="Q9" s="130">
        <v>4.0</v>
      </c>
    </row>
    <row r="10">
      <c r="B10" s="150" t="s">
        <v>174</v>
      </c>
      <c r="C10" s="151">
        <f>C8*m_per_in</f>
        <v>0.3999992</v>
      </c>
      <c r="Q10" s="130">
        <v>6.0</v>
      </c>
    </row>
    <row r="11">
      <c r="B11" s="150" t="s">
        <v>177</v>
      </c>
      <c r="C11" s="76">
        <f>C9*C10</f>
        <v>0.06095987808</v>
      </c>
      <c r="J11" s="40"/>
      <c r="Q11" s="152">
        <v>8.0</v>
      </c>
    </row>
    <row r="12">
      <c r="B12" s="153" t="s">
        <v>241</v>
      </c>
      <c r="C12" s="129"/>
      <c r="E12" s="154" t="s">
        <v>188</v>
      </c>
      <c r="F12" s="155">
        <v>1.0</v>
      </c>
      <c r="G12" s="155">
        <v>5.0</v>
      </c>
      <c r="H12" s="155">
        <v>10.0</v>
      </c>
      <c r="I12" s="155">
        <v>20.0</v>
      </c>
      <c r="J12" s="155">
        <v>21.0</v>
      </c>
      <c r="K12" s="155">
        <v>22.0</v>
      </c>
      <c r="L12" s="155">
        <v>23.0</v>
      </c>
      <c r="M12" s="155">
        <v>24.0</v>
      </c>
      <c r="N12" s="155">
        <v>25.0</v>
      </c>
      <c r="O12" s="155">
        <v>26.0</v>
      </c>
      <c r="P12" s="155">
        <v>27.0</v>
      </c>
      <c r="Q12" s="155">
        <v>28.0</v>
      </c>
      <c r="R12" s="155">
        <v>29.0</v>
      </c>
      <c r="S12" s="155">
        <v>30.0</v>
      </c>
      <c r="T12" s="155">
        <v>31.0</v>
      </c>
      <c r="U12" s="155">
        <v>32.0</v>
      </c>
      <c r="V12" s="155">
        <v>33.0</v>
      </c>
      <c r="W12" s="155">
        <v>34.0</v>
      </c>
      <c r="X12" s="155">
        <v>35.0</v>
      </c>
      <c r="Y12" s="155">
        <v>40.0</v>
      </c>
      <c r="Z12" s="155">
        <v>45.0</v>
      </c>
      <c r="AA12" s="155">
        <v>46.0</v>
      </c>
      <c r="AB12" s="155">
        <v>47.0</v>
      </c>
      <c r="AC12" s="155">
        <v>48.0</v>
      </c>
      <c r="AD12" s="155">
        <v>49.0</v>
      </c>
      <c r="AE12" s="155">
        <v>50.0</v>
      </c>
      <c r="AF12" s="155">
        <v>53.0</v>
      </c>
      <c r="AG12" s="156">
        <v>55.0</v>
      </c>
      <c r="AH12" s="155">
        <v>60.0</v>
      </c>
      <c r="AI12" s="155">
        <v>70.0</v>
      </c>
      <c r="AJ12" s="155">
        <v>80.0</v>
      </c>
      <c r="AK12" s="155">
        <v>90.0</v>
      </c>
      <c r="AL12" s="5">
        <v>92.0</v>
      </c>
      <c r="AM12" s="5">
        <v>94.0</v>
      </c>
      <c r="AN12" s="5">
        <v>96.0</v>
      </c>
      <c r="AO12" s="155">
        <v>100.0</v>
      </c>
      <c r="AP12" s="155">
        <v>200.0</v>
      </c>
      <c r="AQ12" s="5"/>
      <c r="AR12" s="5"/>
      <c r="AS12" s="5"/>
    </row>
    <row r="13">
      <c r="B13" s="157" t="s">
        <v>185</v>
      </c>
      <c r="C13" s="149">
        <v>3.0</v>
      </c>
      <c r="E13" s="141" t="s">
        <v>189</v>
      </c>
      <c r="F13" s="131">
        <f>F12*mcube_per_cfm</f>
        <v>0.00047194745</v>
      </c>
      <c r="G13" s="131">
        <f>G12*mcube_per_cfm</f>
        <v>0.00235973725</v>
      </c>
      <c r="H13" s="131">
        <f>H12*mcube_per_cfm</f>
        <v>0.0047194745</v>
      </c>
      <c r="I13" s="131">
        <f>I12*mcube_per_cfm</f>
        <v>0.009438949</v>
      </c>
      <c r="J13" s="131">
        <f>J12*mcube_per_cfm</f>
        <v>0.00991089645</v>
      </c>
      <c r="K13" s="131">
        <f>K12*mcube_per_cfm</f>
        <v>0.0103828439</v>
      </c>
      <c r="L13" s="131">
        <f>L12*mcube_per_cfm</f>
        <v>0.01085479135</v>
      </c>
      <c r="M13" s="131">
        <f>M12*mcube_per_cfm</f>
        <v>0.0113267388</v>
      </c>
      <c r="N13" s="131">
        <f>N12*mcube_per_cfm</f>
        <v>0.01179868625</v>
      </c>
      <c r="O13" s="131">
        <f>O12*mcube_per_cfm</f>
        <v>0.0122706337</v>
      </c>
      <c r="P13" s="131">
        <f>P12*mcube_per_cfm</f>
        <v>0.01274258115</v>
      </c>
      <c r="Q13" s="131">
        <f>Q12*mcube_per_cfm</f>
        <v>0.0132145286</v>
      </c>
      <c r="R13" s="131">
        <f>R12*mcube_per_cfm</f>
        <v>0.01368647605</v>
      </c>
      <c r="S13" s="131">
        <f>S12*mcube_per_cfm</f>
        <v>0.0141584235</v>
      </c>
      <c r="T13" s="131">
        <f>T12*mcube_per_cfm</f>
        <v>0.01463037095</v>
      </c>
      <c r="U13" s="131">
        <f>U12*mcube_per_cfm</f>
        <v>0.0151023184</v>
      </c>
      <c r="V13" s="131">
        <f>V12*mcube_per_cfm</f>
        <v>0.01557426585</v>
      </c>
      <c r="W13" s="131">
        <f>W12*mcube_per_cfm</f>
        <v>0.0160462133</v>
      </c>
      <c r="X13" s="131">
        <f>X12*mcube_per_cfm</f>
        <v>0.01651816075</v>
      </c>
      <c r="Y13" s="131">
        <f>Y12*mcube_per_cfm</f>
        <v>0.018877898</v>
      </c>
      <c r="Z13" s="131">
        <f>Z12*mcube_per_cfm</f>
        <v>0.02123763525</v>
      </c>
      <c r="AA13" s="131">
        <f>AA12*mcube_per_cfm</f>
        <v>0.0217095827</v>
      </c>
      <c r="AB13" s="131">
        <f>AB12*mcube_per_cfm</f>
        <v>0.02218153015</v>
      </c>
      <c r="AC13" s="131">
        <f>AC12*mcube_per_cfm</f>
        <v>0.0226534776</v>
      </c>
      <c r="AD13" s="131">
        <f>AD12*mcube_per_cfm</f>
        <v>0.02312542505</v>
      </c>
      <c r="AE13" s="131">
        <f>AE12*mcube_per_cfm</f>
        <v>0.0235973725</v>
      </c>
      <c r="AF13" s="131">
        <f>AF12*mcube_per_cfm</f>
        <v>0.02501321485</v>
      </c>
      <c r="AG13" s="131">
        <f>AG12*mcube_per_cfm</f>
        <v>0.02595710975</v>
      </c>
      <c r="AH13" s="131">
        <f>AH12*mcube_per_cfm</f>
        <v>0.028316847</v>
      </c>
      <c r="AI13" s="131">
        <f>AI12*mcube_per_cfm</f>
        <v>0.0330363215</v>
      </c>
      <c r="AJ13" s="131">
        <f>AJ12*mcube_per_cfm</f>
        <v>0.037755796</v>
      </c>
      <c r="AK13" s="131">
        <f>AK12*mcube_per_cfm</f>
        <v>0.0424752705</v>
      </c>
      <c r="AL13" s="131">
        <f>AL12*mcube_per_cfm</f>
        <v>0.0434191654</v>
      </c>
      <c r="AM13" s="131">
        <f>AM12*mcube_per_cfm</f>
        <v>0.0443630603</v>
      </c>
      <c r="AN13" s="131">
        <f>AN12*mcube_per_cfm</f>
        <v>0.0453069552</v>
      </c>
      <c r="AO13" s="131">
        <f>AO12*mcube_per_cfm</f>
        <v>0.047194745</v>
      </c>
      <c r="AP13" s="131">
        <f>AP12*mcube_per_cfm</f>
        <v>0.09438949</v>
      </c>
      <c r="AQ13" s="131"/>
      <c r="AR13" s="131"/>
      <c r="AS13" s="131"/>
    </row>
    <row r="14">
      <c r="B14" s="157" t="s">
        <v>210</v>
      </c>
      <c r="C14" s="157">
        <v>0.669</v>
      </c>
      <c r="E14" s="158" t="s">
        <v>212</v>
      </c>
      <c r="F14" s="131">
        <f>F13*dens_air</f>
        <v>0.0006073281271</v>
      </c>
      <c r="G14" s="131">
        <f>G13*dens_air</f>
        <v>0.003036640636</v>
      </c>
      <c r="H14" s="131">
        <f>H13*dens_air</f>
        <v>0.006073281271</v>
      </c>
      <c r="I14" s="131">
        <f>I13*dens_air</f>
        <v>0.01214656254</v>
      </c>
      <c r="J14" s="131">
        <f>J13*dens_air</f>
        <v>0.01275389067</v>
      </c>
      <c r="K14" s="131">
        <f>K13*dens_air</f>
        <v>0.0133612188</v>
      </c>
      <c r="L14" s="131">
        <f>L13*dens_air</f>
        <v>0.01396854692</v>
      </c>
      <c r="M14" s="131">
        <f>M13*dens_air</f>
        <v>0.01457587505</v>
      </c>
      <c r="N14" s="131">
        <f>N13*dens_air</f>
        <v>0.01518320318</v>
      </c>
      <c r="O14" s="131">
        <f>O13*dens_air</f>
        <v>0.01579053131</v>
      </c>
      <c r="P14" s="131">
        <f>P13*dens_air</f>
        <v>0.01639785943</v>
      </c>
      <c r="Q14" s="131">
        <f>Q13*dens_air</f>
        <v>0.01700518756</v>
      </c>
      <c r="R14" s="131">
        <f>R13*dens_air</f>
        <v>0.01761251569</v>
      </c>
      <c r="S14" s="131">
        <f>S13*dens_air</f>
        <v>0.01821984381</v>
      </c>
      <c r="T14" s="131">
        <f>T13*dens_air</f>
        <v>0.01882717194</v>
      </c>
      <c r="U14" s="131">
        <f>U13*dens_air</f>
        <v>0.01943450007</v>
      </c>
      <c r="V14" s="131">
        <f>V13*dens_air</f>
        <v>0.0200418282</v>
      </c>
      <c r="W14" s="131">
        <f>W13*dens_air</f>
        <v>0.02064915632</v>
      </c>
      <c r="X14" s="131">
        <f>X13*dens_air</f>
        <v>0.02125648445</v>
      </c>
      <c r="Y14" s="131">
        <f>Y13*dens_air</f>
        <v>0.02429312509</v>
      </c>
      <c r="Z14" s="131">
        <f>Z13*dens_air</f>
        <v>0.02732976572</v>
      </c>
      <c r="AA14" s="131">
        <f>AA13*dens_air</f>
        <v>0.02793709385</v>
      </c>
      <c r="AB14" s="131">
        <f>AB13*dens_air</f>
        <v>0.02854442197</v>
      </c>
      <c r="AC14" s="131">
        <f>AC13*dens_air</f>
        <v>0.0291517501</v>
      </c>
      <c r="AD14" s="131">
        <f>AD13*dens_air</f>
        <v>0.02975907823</v>
      </c>
      <c r="AE14" s="131">
        <f>AE13*dens_air</f>
        <v>0.03036640636</v>
      </c>
      <c r="AF14" s="131">
        <f>AF13*dens_air</f>
        <v>0.03218839074</v>
      </c>
      <c r="AG14" s="131">
        <f>AG13*dens_air</f>
        <v>0.03340304699</v>
      </c>
      <c r="AH14" s="131">
        <f>AH13*dens_air</f>
        <v>0.03643968763</v>
      </c>
      <c r="AI14" s="131">
        <f>AI13*dens_air</f>
        <v>0.0425129689</v>
      </c>
      <c r="AJ14" s="131">
        <f>AJ13*dens_air</f>
        <v>0.04858625017</v>
      </c>
      <c r="AK14" s="131">
        <f>AK13*dens_air</f>
        <v>0.05465953144</v>
      </c>
      <c r="AL14" s="131">
        <f>AL13*dens_air</f>
        <v>0.0558741877</v>
      </c>
      <c r="AM14" s="131">
        <f>AM13*dens_air</f>
        <v>0.05708884395</v>
      </c>
      <c r="AN14" s="131">
        <f>AN13*dens_air</f>
        <v>0.0583035002</v>
      </c>
      <c r="AO14" s="131">
        <f>AO13*dens_air</f>
        <v>0.06073281271</v>
      </c>
      <c r="AP14" s="131">
        <f>AP13*dens_air</f>
        <v>0.1214656254</v>
      </c>
      <c r="AQ14" s="131"/>
      <c r="AR14" s="131"/>
      <c r="AS14" s="131"/>
    </row>
    <row r="15">
      <c r="B15" s="157" t="s">
        <v>211</v>
      </c>
      <c r="C15" s="157">
        <v>0.043</v>
      </c>
      <c r="E15" s="158" t="s">
        <v>214</v>
      </c>
      <c r="F15" s="132">
        <f t="shared" ref="F15:AP15" si="1">F13/$C$20</f>
        <v>0.000002165240238</v>
      </c>
      <c r="G15" s="132">
        <f t="shared" si="1"/>
        <v>0.00001082620119</v>
      </c>
      <c r="H15" s="132">
        <f t="shared" si="1"/>
        <v>0.00002165240238</v>
      </c>
      <c r="I15" s="132">
        <f t="shared" si="1"/>
        <v>0.00004330480475</v>
      </c>
      <c r="J15" s="132">
        <f t="shared" si="1"/>
        <v>0.00004547004499</v>
      </c>
      <c r="K15" s="132">
        <f t="shared" si="1"/>
        <v>0.00004763528523</v>
      </c>
      <c r="L15" s="132">
        <f t="shared" si="1"/>
        <v>0.00004980052547</v>
      </c>
      <c r="M15" s="132">
        <f t="shared" si="1"/>
        <v>0.0000519657657</v>
      </c>
      <c r="N15" s="132">
        <f t="shared" si="1"/>
        <v>0.00005413100594</v>
      </c>
      <c r="O15" s="132">
        <f t="shared" si="1"/>
        <v>0.00005629624618</v>
      </c>
      <c r="P15" s="132">
        <f t="shared" si="1"/>
        <v>0.00005846148642</v>
      </c>
      <c r="Q15" s="132">
        <f t="shared" si="1"/>
        <v>0.00006062672665</v>
      </c>
      <c r="R15" s="132">
        <f t="shared" si="1"/>
        <v>0.00006279196689</v>
      </c>
      <c r="S15" s="132">
        <f t="shared" si="1"/>
        <v>0.00006495720713</v>
      </c>
      <c r="T15" s="132">
        <f t="shared" si="1"/>
        <v>0.00006712244737</v>
      </c>
      <c r="U15" s="132">
        <f t="shared" si="1"/>
        <v>0.0000692876876</v>
      </c>
      <c r="V15" s="132">
        <f t="shared" si="1"/>
        <v>0.00007145292784</v>
      </c>
      <c r="W15" s="132">
        <f t="shared" si="1"/>
        <v>0.00007361816808</v>
      </c>
      <c r="X15" s="132">
        <f t="shared" si="1"/>
        <v>0.00007578340832</v>
      </c>
      <c r="Y15" s="132">
        <f t="shared" si="1"/>
        <v>0.00008660960951</v>
      </c>
      <c r="Z15" s="132">
        <f t="shared" si="1"/>
        <v>0.00009743581069</v>
      </c>
      <c r="AA15" s="132">
        <f t="shared" si="1"/>
        <v>0.00009960105093</v>
      </c>
      <c r="AB15" s="132">
        <f t="shared" si="1"/>
        <v>0.0001017662912</v>
      </c>
      <c r="AC15" s="132">
        <f t="shared" si="1"/>
        <v>0.0001039315314</v>
      </c>
      <c r="AD15" s="132">
        <f t="shared" si="1"/>
        <v>0.0001060967716</v>
      </c>
      <c r="AE15" s="132">
        <f t="shared" si="1"/>
        <v>0.0001082620119</v>
      </c>
      <c r="AF15" s="132">
        <f t="shared" si="1"/>
        <v>0.0001147577326</v>
      </c>
      <c r="AG15" s="132">
        <f t="shared" si="1"/>
        <v>0.0001190882131</v>
      </c>
      <c r="AH15" s="132">
        <f t="shared" si="1"/>
        <v>0.0001299144143</v>
      </c>
      <c r="AI15" s="132">
        <f t="shared" si="1"/>
        <v>0.0001515668166</v>
      </c>
      <c r="AJ15" s="132">
        <f t="shared" si="1"/>
        <v>0.000173219219</v>
      </c>
      <c r="AK15" s="132">
        <f t="shared" si="1"/>
        <v>0.0001948716214</v>
      </c>
      <c r="AL15" s="132">
        <f t="shared" si="1"/>
        <v>0.0001992021019</v>
      </c>
      <c r="AM15" s="132">
        <f t="shared" si="1"/>
        <v>0.0002035325823</v>
      </c>
      <c r="AN15" s="132">
        <f t="shared" si="1"/>
        <v>0.0002078630628</v>
      </c>
      <c r="AO15" s="132">
        <f t="shared" si="1"/>
        <v>0.0002165240238</v>
      </c>
      <c r="AP15" s="132">
        <f t="shared" si="1"/>
        <v>0.0004330480475</v>
      </c>
      <c r="AQ15" s="132"/>
      <c r="AR15" s="132"/>
      <c r="AS15" s="132"/>
    </row>
    <row r="16">
      <c r="B16" s="157" t="s">
        <v>213</v>
      </c>
      <c r="C16" s="157">
        <v>0.246</v>
      </c>
      <c r="E16" s="158" t="s">
        <v>216</v>
      </c>
      <c r="F16" s="159">
        <f t="shared" ref="F16:AP16" si="2">F14/$C$20</f>
        <v>0.000002786351104</v>
      </c>
      <c r="G16" s="159">
        <f t="shared" si="2"/>
        <v>0.00001393175552</v>
      </c>
      <c r="H16" s="159">
        <f t="shared" si="2"/>
        <v>0.00002786351104</v>
      </c>
      <c r="I16" s="159">
        <f t="shared" si="2"/>
        <v>0.00005572702208</v>
      </c>
      <c r="J16" s="159">
        <f t="shared" si="2"/>
        <v>0.00005851337318</v>
      </c>
      <c r="K16" s="159">
        <f t="shared" si="2"/>
        <v>0.00006129972429</v>
      </c>
      <c r="L16" s="159">
        <f t="shared" si="2"/>
        <v>0.00006408607539</v>
      </c>
      <c r="M16" s="159">
        <f t="shared" si="2"/>
        <v>0.00006687242649</v>
      </c>
      <c r="N16" s="159">
        <f t="shared" si="2"/>
        <v>0.0000696587776</v>
      </c>
      <c r="O16" s="159">
        <f t="shared" si="2"/>
        <v>0.0000724451287</v>
      </c>
      <c r="P16" s="159">
        <f t="shared" si="2"/>
        <v>0.00007523147981</v>
      </c>
      <c r="Q16" s="159">
        <f t="shared" si="2"/>
        <v>0.00007801783091</v>
      </c>
      <c r="R16" s="159">
        <f t="shared" si="2"/>
        <v>0.00008080418201</v>
      </c>
      <c r="S16" s="159">
        <f t="shared" si="2"/>
        <v>0.00008359053312</v>
      </c>
      <c r="T16" s="159">
        <f t="shared" si="2"/>
        <v>0.00008637688422</v>
      </c>
      <c r="U16" s="159">
        <f t="shared" si="2"/>
        <v>0.00008916323533</v>
      </c>
      <c r="V16" s="159">
        <f t="shared" si="2"/>
        <v>0.00009194958643</v>
      </c>
      <c r="W16" s="159">
        <f t="shared" si="2"/>
        <v>0.00009473593753</v>
      </c>
      <c r="X16" s="159">
        <f t="shared" si="2"/>
        <v>0.00009752228864</v>
      </c>
      <c r="Y16" s="159">
        <f t="shared" si="2"/>
        <v>0.0001114540442</v>
      </c>
      <c r="Z16" s="159">
        <f t="shared" si="2"/>
        <v>0.0001253857997</v>
      </c>
      <c r="AA16" s="159">
        <f t="shared" si="2"/>
        <v>0.0001281721508</v>
      </c>
      <c r="AB16" s="159">
        <f t="shared" si="2"/>
        <v>0.0001309585019</v>
      </c>
      <c r="AC16" s="159">
        <f t="shared" si="2"/>
        <v>0.000133744853</v>
      </c>
      <c r="AD16" s="159">
        <f t="shared" si="2"/>
        <v>0.0001365312041</v>
      </c>
      <c r="AE16" s="159">
        <f t="shared" si="2"/>
        <v>0.0001393175552</v>
      </c>
      <c r="AF16" s="159">
        <f t="shared" si="2"/>
        <v>0.0001476766085</v>
      </c>
      <c r="AG16" s="159">
        <f t="shared" si="2"/>
        <v>0.0001532493107</v>
      </c>
      <c r="AH16" s="159">
        <f t="shared" si="2"/>
        <v>0.0001671810662</v>
      </c>
      <c r="AI16" s="159">
        <f t="shared" si="2"/>
        <v>0.0001950445773</v>
      </c>
      <c r="AJ16" s="159">
        <f t="shared" si="2"/>
        <v>0.0002229080883</v>
      </c>
      <c r="AK16" s="159">
        <f t="shared" si="2"/>
        <v>0.0002507715994</v>
      </c>
      <c r="AL16" s="159">
        <f t="shared" si="2"/>
        <v>0.0002563443016</v>
      </c>
      <c r="AM16" s="159">
        <f t="shared" si="2"/>
        <v>0.0002619170038</v>
      </c>
      <c r="AN16" s="159">
        <f t="shared" si="2"/>
        <v>0.000267489706</v>
      </c>
      <c r="AO16" s="159">
        <f t="shared" si="2"/>
        <v>0.0002786351104</v>
      </c>
      <c r="AP16" s="159">
        <f t="shared" si="2"/>
        <v>0.0005572702208</v>
      </c>
      <c r="AQ16" s="135"/>
      <c r="AR16" s="135"/>
      <c r="AS16" s="135"/>
    </row>
    <row r="17">
      <c r="B17" s="149" t="s">
        <v>215</v>
      </c>
      <c r="C17" s="160">
        <f>C14*m_per_in</f>
        <v>0.0169926</v>
      </c>
      <c r="E17" s="141" t="s">
        <v>194</v>
      </c>
      <c r="F17" s="140">
        <f t="shared" ref="F17:AP17" si="3">F15/$C$22</f>
        <v>0.02039282682</v>
      </c>
      <c r="G17" s="140">
        <f t="shared" si="3"/>
        <v>0.1019641341</v>
      </c>
      <c r="H17" s="140">
        <f t="shared" si="3"/>
        <v>0.2039282682</v>
      </c>
      <c r="I17" s="140">
        <f t="shared" si="3"/>
        <v>0.4078565363</v>
      </c>
      <c r="J17" s="140">
        <f t="shared" si="3"/>
        <v>0.4282493632</v>
      </c>
      <c r="K17" s="140">
        <f t="shared" si="3"/>
        <v>0.44864219</v>
      </c>
      <c r="L17" s="140">
        <f t="shared" si="3"/>
        <v>0.4690350168</v>
      </c>
      <c r="M17" s="140">
        <f t="shared" si="3"/>
        <v>0.4894278436</v>
      </c>
      <c r="N17" s="140">
        <f t="shared" si="3"/>
        <v>0.5098206704</v>
      </c>
      <c r="O17" s="140">
        <f t="shared" si="3"/>
        <v>0.5302134972</v>
      </c>
      <c r="P17" s="140">
        <f t="shared" si="3"/>
        <v>0.5506063241</v>
      </c>
      <c r="Q17" s="140">
        <f t="shared" si="3"/>
        <v>0.5709991509</v>
      </c>
      <c r="R17" s="140">
        <f t="shared" si="3"/>
        <v>0.5913919777</v>
      </c>
      <c r="S17" s="140">
        <f t="shared" si="3"/>
        <v>0.6117848045</v>
      </c>
      <c r="T17" s="140">
        <f t="shared" si="3"/>
        <v>0.6321776313</v>
      </c>
      <c r="U17" s="140">
        <f t="shared" si="3"/>
        <v>0.6525704582</v>
      </c>
      <c r="V17" s="140">
        <f t="shared" si="3"/>
        <v>0.672963285</v>
      </c>
      <c r="W17" s="140">
        <f t="shared" si="3"/>
        <v>0.6933561118</v>
      </c>
      <c r="X17" s="140">
        <f t="shared" si="3"/>
        <v>0.7137489386</v>
      </c>
      <c r="Y17" s="140">
        <f t="shared" si="3"/>
        <v>0.8157130727</v>
      </c>
      <c r="Z17" s="140">
        <f t="shared" si="3"/>
        <v>0.9176772068</v>
      </c>
      <c r="AA17" s="140">
        <f t="shared" si="3"/>
        <v>0.9380700336</v>
      </c>
      <c r="AB17" s="140">
        <f t="shared" si="3"/>
        <v>0.9584628604</v>
      </c>
      <c r="AC17" s="140">
        <f t="shared" si="3"/>
        <v>0.9788556872</v>
      </c>
      <c r="AD17" s="140">
        <f t="shared" si="3"/>
        <v>0.999248514</v>
      </c>
      <c r="AE17" s="140">
        <f t="shared" si="3"/>
        <v>1.019641341</v>
      </c>
      <c r="AF17" s="140">
        <f t="shared" si="3"/>
        <v>1.080819821</v>
      </c>
      <c r="AG17" s="140">
        <f t="shared" si="3"/>
        <v>1.121605475</v>
      </c>
      <c r="AH17" s="140">
        <f t="shared" si="3"/>
        <v>1.223569609</v>
      </c>
      <c r="AI17" s="140">
        <f t="shared" si="3"/>
        <v>1.427497877</v>
      </c>
      <c r="AJ17" s="140">
        <f t="shared" si="3"/>
        <v>1.631426145</v>
      </c>
      <c r="AK17" s="140">
        <f t="shared" si="3"/>
        <v>1.835354414</v>
      </c>
      <c r="AL17" s="140">
        <f t="shared" si="3"/>
        <v>1.876140067</v>
      </c>
      <c r="AM17" s="140">
        <f t="shared" si="3"/>
        <v>1.916925721</v>
      </c>
      <c r="AN17" s="140">
        <f t="shared" si="3"/>
        <v>1.957711374</v>
      </c>
      <c r="AO17" s="140">
        <f t="shared" si="3"/>
        <v>2.039282682</v>
      </c>
      <c r="AP17" s="140">
        <f t="shared" si="3"/>
        <v>4.078565363</v>
      </c>
      <c r="AQ17" s="136"/>
      <c r="AR17" s="136"/>
      <c r="AS17" s="136"/>
    </row>
    <row r="18">
      <c r="B18" s="149" t="s">
        <v>217</v>
      </c>
      <c r="C18" s="161">
        <f>C15*m_per_in</f>
        <v>0.0010922</v>
      </c>
      <c r="E18" s="158" t="s">
        <v>219</v>
      </c>
      <c r="F18" s="162">
        <f>F17*$C$24/kin_vis_air</f>
        <v>14.74430584</v>
      </c>
      <c r="G18" s="162">
        <f>G17*$C$24/kin_vis_air</f>
        <v>73.7215292</v>
      </c>
      <c r="H18" s="162">
        <f>H17*$C$24/kin_vis_air</f>
        <v>147.4430584</v>
      </c>
      <c r="I18" s="162">
        <f>I17*$C$24/kin_vis_air</f>
        <v>294.8861168</v>
      </c>
      <c r="J18" s="162">
        <f>J17*$C$24/kin_vis_air</f>
        <v>309.6304227</v>
      </c>
      <c r="K18" s="162">
        <f>K17*$C$24/kin_vis_air</f>
        <v>324.3747285</v>
      </c>
      <c r="L18" s="162">
        <f>L17*$C$24/kin_vis_air</f>
        <v>339.1190343</v>
      </c>
      <c r="M18" s="162">
        <f>M17*$C$24/kin_vis_air</f>
        <v>353.8633402</v>
      </c>
      <c r="N18" s="162">
        <f>N17*$C$24/kin_vis_air</f>
        <v>368.607646</v>
      </c>
      <c r="O18" s="162">
        <f>O17*$C$24/kin_vis_air</f>
        <v>383.3519519</v>
      </c>
      <c r="P18" s="162">
        <f>P17*$C$24/kin_vis_air</f>
        <v>398.0962577</v>
      </c>
      <c r="Q18" s="162">
        <f>Q17*$C$24/kin_vis_air</f>
        <v>412.8405635</v>
      </c>
      <c r="R18" s="162">
        <f>R17*$C$24/kin_vis_air</f>
        <v>427.5848694</v>
      </c>
      <c r="S18" s="162">
        <f>S17*$C$24/kin_vis_air</f>
        <v>442.3291752</v>
      </c>
      <c r="T18" s="162">
        <f>T17*$C$24/kin_vis_air</f>
        <v>457.0734811</v>
      </c>
      <c r="U18" s="162">
        <f>U17*$C$24/kin_vis_air</f>
        <v>471.8177869</v>
      </c>
      <c r="V18" s="162">
        <f>V17*$C$24/kin_vis_air</f>
        <v>486.5620927</v>
      </c>
      <c r="W18" s="162">
        <f>W17*$C$24/kin_vis_air</f>
        <v>501.3063986</v>
      </c>
      <c r="X18" s="162">
        <f>X17*$C$24/kin_vis_air</f>
        <v>516.0507044</v>
      </c>
      <c r="Y18" s="162">
        <f>Y17*$C$24/kin_vis_air</f>
        <v>589.7722336</v>
      </c>
      <c r="Z18" s="162">
        <f>Z17*$C$24/kin_vis_air</f>
        <v>663.4937628</v>
      </c>
      <c r="AA18" s="162">
        <f>AA17*$C$24/kin_vis_air</f>
        <v>678.2380687</v>
      </c>
      <c r="AB18" s="162">
        <f>AB17*$C$24/kin_vis_air</f>
        <v>692.9823745</v>
      </c>
      <c r="AC18" s="162">
        <f>AC17*$C$24/kin_vis_air</f>
        <v>707.7266803</v>
      </c>
      <c r="AD18" s="162">
        <f>AD17*$C$24/kin_vis_air</f>
        <v>722.4709862</v>
      </c>
      <c r="AE18" s="162">
        <f>AE17*$C$24/kin_vis_air</f>
        <v>737.215292</v>
      </c>
      <c r="AF18" s="162">
        <f>AF17*$C$24/kin_vis_air</f>
        <v>781.4482095</v>
      </c>
      <c r="AG18" s="162">
        <f>AG17*$C$24/kin_vis_air</f>
        <v>810.9368212</v>
      </c>
      <c r="AH18" s="162">
        <f>AH17*$C$24/kin_vis_air</f>
        <v>884.6583504</v>
      </c>
      <c r="AI18" s="162">
        <f>AI17*$C$24/kin_vis_air</f>
        <v>1032.101409</v>
      </c>
      <c r="AJ18" s="162">
        <f>AJ17*$C$24/kin_vis_air</f>
        <v>1179.544467</v>
      </c>
      <c r="AK18" s="162">
        <f>AK17*$C$24/kin_vis_air</f>
        <v>1326.987526</v>
      </c>
      <c r="AL18" s="162">
        <f>AL17*$C$24/kin_vis_air</f>
        <v>1356.476137</v>
      </c>
      <c r="AM18" s="162">
        <f>AM17*$C$24/kin_vis_air</f>
        <v>1385.964749</v>
      </c>
      <c r="AN18" s="162">
        <f>AN17*$C$24/kin_vis_air</f>
        <v>1415.453361</v>
      </c>
      <c r="AO18" s="162">
        <f>AO17*$C$24/kin_vis_air</f>
        <v>1474.430584</v>
      </c>
      <c r="AP18" s="162">
        <f>AP17*$C$24/kin_vis_air</f>
        <v>2948.861168</v>
      </c>
      <c r="AQ18" s="137"/>
      <c r="AR18" s="137"/>
      <c r="AS18" s="137"/>
    </row>
    <row r="19">
      <c r="B19" s="149" t="s">
        <v>218</v>
      </c>
      <c r="C19" s="160">
        <f>C16*m_per_in</f>
        <v>0.0062484</v>
      </c>
      <c r="E19" s="158" t="s">
        <v>196</v>
      </c>
      <c r="F19" s="158" t="str">
        <f t="shared" ref="F19:AP19" si="4">if(F18&lt;2300,"L","T")</f>
        <v>L</v>
      </c>
      <c r="G19" s="158" t="str">
        <f t="shared" si="4"/>
        <v>L</v>
      </c>
      <c r="H19" s="158" t="str">
        <f t="shared" si="4"/>
        <v>L</v>
      </c>
      <c r="I19" s="158" t="str">
        <f t="shared" si="4"/>
        <v>L</v>
      </c>
      <c r="J19" s="158" t="str">
        <f t="shared" si="4"/>
        <v>L</v>
      </c>
      <c r="K19" s="158" t="str">
        <f t="shared" si="4"/>
        <v>L</v>
      </c>
      <c r="L19" s="158" t="str">
        <f t="shared" si="4"/>
        <v>L</v>
      </c>
      <c r="M19" s="158" t="str">
        <f t="shared" si="4"/>
        <v>L</v>
      </c>
      <c r="N19" s="158" t="str">
        <f t="shared" si="4"/>
        <v>L</v>
      </c>
      <c r="O19" s="158" t="str">
        <f t="shared" si="4"/>
        <v>L</v>
      </c>
      <c r="P19" s="158" t="str">
        <f t="shared" si="4"/>
        <v>L</v>
      </c>
      <c r="Q19" s="158" t="str">
        <f t="shared" si="4"/>
        <v>L</v>
      </c>
      <c r="R19" s="158" t="str">
        <f t="shared" si="4"/>
        <v>L</v>
      </c>
      <c r="S19" s="158" t="str">
        <f t="shared" si="4"/>
        <v>L</v>
      </c>
      <c r="T19" s="158" t="str">
        <f t="shared" si="4"/>
        <v>L</v>
      </c>
      <c r="U19" s="158" t="str">
        <f t="shared" si="4"/>
        <v>L</v>
      </c>
      <c r="V19" s="158" t="str">
        <f t="shared" si="4"/>
        <v>L</v>
      </c>
      <c r="W19" s="158" t="str">
        <f t="shared" si="4"/>
        <v>L</v>
      </c>
      <c r="X19" s="158" t="str">
        <f t="shared" si="4"/>
        <v>L</v>
      </c>
      <c r="Y19" s="158" t="str">
        <f t="shared" si="4"/>
        <v>L</v>
      </c>
      <c r="Z19" s="158" t="str">
        <f t="shared" si="4"/>
        <v>L</v>
      </c>
      <c r="AA19" s="158" t="str">
        <f t="shared" si="4"/>
        <v>L</v>
      </c>
      <c r="AB19" s="158" t="str">
        <f t="shared" si="4"/>
        <v>L</v>
      </c>
      <c r="AC19" s="158" t="str">
        <f t="shared" si="4"/>
        <v>L</v>
      </c>
      <c r="AD19" s="158" t="str">
        <f t="shared" si="4"/>
        <v>L</v>
      </c>
      <c r="AE19" s="158" t="str">
        <f t="shared" si="4"/>
        <v>L</v>
      </c>
      <c r="AF19" s="158" t="str">
        <f t="shared" si="4"/>
        <v>L</v>
      </c>
      <c r="AG19" s="158" t="str">
        <f t="shared" si="4"/>
        <v>L</v>
      </c>
      <c r="AH19" s="158" t="str">
        <f t="shared" si="4"/>
        <v>L</v>
      </c>
      <c r="AI19" s="158" t="str">
        <f t="shared" si="4"/>
        <v>L</v>
      </c>
      <c r="AJ19" s="158" t="str">
        <f t="shared" si="4"/>
        <v>L</v>
      </c>
      <c r="AK19" s="158" t="str">
        <f t="shared" si="4"/>
        <v>L</v>
      </c>
      <c r="AL19" s="158" t="str">
        <f t="shared" si="4"/>
        <v>L</v>
      </c>
      <c r="AM19" s="158" t="str">
        <f t="shared" si="4"/>
        <v>L</v>
      </c>
      <c r="AN19" s="158" t="str">
        <f t="shared" si="4"/>
        <v>L</v>
      </c>
      <c r="AO19" s="158" t="str">
        <f t="shared" si="4"/>
        <v>L</v>
      </c>
      <c r="AP19" s="158" t="str">
        <f t="shared" si="4"/>
        <v>T</v>
      </c>
      <c r="AQ19" s="139"/>
      <c r="AR19" s="139"/>
      <c r="AS19" s="139"/>
    </row>
    <row r="20">
      <c r="B20" s="149" t="s">
        <v>220</v>
      </c>
      <c r="C20" s="163">
        <f>C10/(C18+C19)*(C13+1)</f>
        <v>217.9653979</v>
      </c>
      <c r="E20" s="158" t="s">
        <v>222</v>
      </c>
      <c r="F20" s="140">
        <f t="shared" ref="F20:AP20" si="5">if(F19="Turbulent",10*$C$24,0.05*$C$24*F18)</f>
        <v>0.007782051325</v>
      </c>
      <c r="G20" s="140">
        <f t="shared" si="5"/>
        <v>0.03891025662</v>
      </c>
      <c r="H20" s="140">
        <f t="shared" si="5"/>
        <v>0.07782051325</v>
      </c>
      <c r="I20" s="140">
        <f t="shared" si="5"/>
        <v>0.1556410265</v>
      </c>
      <c r="J20" s="140">
        <f t="shared" si="5"/>
        <v>0.1634230778</v>
      </c>
      <c r="K20" s="140">
        <f t="shared" si="5"/>
        <v>0.1712051291</v>
      </c>
      <c r="L20" s="140">
        <f t="shared" si="5"/>
        <v>0.1789871805</v>
      </c>
      <c r="M20" s="140">
        <f t="shared" si="5"/>
        <v>0.1867692318</v>
      </c>
      <c r="N20" s="140">
        <f t="shared" si="5"/>
        <v>0.1945512831</v>
      </c>
      <c r="O20" s="140">
        <f t="shared" si="5"/>
        <v>0.2023333344</v>
      </c>
      <c r="P20" s="140">
        <f t="shared" si="5"/>
        <v>0.2101153858</v>
      </c>
      <c r="Q20" s="140">
        <f t="shared" si="5"/>
        <v>0.2178974371</v>
      </c>
      <c r="R20" s="140">
        <f t="shared" si="5"/>
        <v>0.2256794884</v>
      </c>
      <c r="S20" s="140">
        <f t="shared" si="5"/>
        <v>0.2334615397</v>
      </c>
      <c r="T20" s="140">
        <f t="shared" si="5"/>
        <v>0.2412435911</v>
      </c>
      <c r="U20" s="140">
        <f t="shared" si="5"/>
        <v>0.2490256424</v>
      </c>
      <c r="V20" s="140">
        <f t="shared" si="5"/>
        <v>0.2568076937</v>
      </c>
      <c r="W20" s="140">
        <f t="shared" si="5"/>
        <v>0.264589745</v>
      </c>
      <c r="X20" s="140">
        <f t="shared" si="5"/>
        <v>0.2723717964</v>
      </c>
      <c r="Y20" s="140">
        <f t="shared" si="5"/>
        <v>0.311282053</v>
      </c>
      <c r="Z20" s="140">
        <f t="shared" si="5"/>
        <v>0.3501923096</v>
      </c>
      <c r="AA20" s="140">
        <f t="shared" si="5"/>
        <v>0.3579743609</v>
      </c>
      <c r="AB20" s="140">
        <f t="shared" si="5"/>
        <v>0.3657564123</v>
      </c>
      <c r="AC20" s="140">
        <f t="shared" si="5"/>
        <v>0.3735384636</v>
      </c>
      <c r="AD20" s="140">
        <f t="shared" si="5"/>
        <v>0.3813205149</v>
      </c>
      <c r="AE20" s="140">
        <f t="shared" si="5"/>
        <v>0.3891025662</v>
      </c>
      <c r="AF20" s="140">
        <f t="shared" si="5"/>
        <v>0.4124487202</v>
      </c>
      <c r="AG20" s="140">
        <f t="shared" si="5"/>
        <v>0.4280128229</v>
      </c>
      <c r="AH20" s="140">
        <f t="shared" si="5"/>
        <v>0.4669230795</v>
      </c>
      <c r="AI20" s="140">
        <f t="shared" si="5"/>
        <v>0.5447435927</v>
      </c>
      <c r="AJ20" s="140">
        <f t="shared" si="5"/>
        <v>0.622564106</v>
      </c>
      <c r="AK20" s="140">
        <f t="shared" si="5"/>
        <v>0.7003846192</v>
      </c>
      <c r="AL20" s="140">
        <f t="shared" si="5"/>
        <v>0.7159487219</v>
      </c>
      <c r="AM20" s="140">
        <f t="shared" si="5"/>
        <v>0.7315128245</v>
      </c>
      <c r="AN20" s="140">
        <f t="shared" si="5"/>
        <v>0.7470769272</v>
      </c>
      <c r="AO20" s="140">
        <f t="shared" si="5"/>
        <v>0.7782051325</v>
      </c>
      <c r="AP20" s="140">
        <f t="shared" si="5"/>
        <v>1.556410265</v>
      </c>
      <c r="AQ20" s="140"/>
      <c r="AR20" s="140"/>
      <c r="AS20" s="140"/>
    </row>
    <row r="21">
      <c r="B21" s="149" t="s">
        <v>221</v>
      </c>
      <c r="C21" s="164">
        <f>C16/C14</f>
        <v>0.3677130045</v>
      </c>
      <c r="E21" s="158" t="s">
        <v>223</v>
      </c>
      <c r="F21" s="141" t="str">
        <f>if(F20&lt;'STEP 3 for each FIN'!Length_block,"Y","N")</f>
        <v>Y</v>
      </c>
      <c r="G21" s="141" t="str">
        <f>if(G20&lt;'STEP 3 for each FIN'!Length_block,"Y","N")</f>
        <v>Y</v>
      </c>
      <c r="H21" s="141" t="str">
        <f>if(H20&lt;'STEP 3 for each FIN'!Length_block,"Y","N")</f>
        <v>Y</v>
      </c>
      <c r="I21" s="141" t="str">
        <f>if(I20&lt;'STEP 3 for each FIN'!Length_block,"Y","N")</f>
        <v>N</v>
      </c>
      <c r="J21" s="141" t="str">
        <f>if(J20&lt;'STEP 3 for each FIN'!Length_block,"Y","N")</f>
        <v>N</v>
      </c>
      <c r="K21" s="141" t="str">
        <f>if(K20&lt;'STEP 3 for each FIN'!Length_block,"Y","N")</f>
        <v>N</v>
      </c>
      <c r="L21" s="141" t="str">
        <f>if(L20&lt;'STEP 3 for each FIN'!Length_block,"Y","N")</f>
        <v>N</v>
      </c>
      <c r="M21" s="141" t="str">
        <f>if(M20&lt;'STEP 3 for each FIN'!Length_block,"Y","N")</f>
        <v>N</v>
      </c>
      <c r="N21" s="141" t="str">
        <f>if(N20&lt;'STEP 3 for each FIN'!Length_block,"Y","N")</f>
        <v>N</v>
      </c>
      <c r="O21" s="141" t="str">
        <f>if(O20&lt;'STEP 3 for each FIN'!Length_block,"Y","N")</f>
        <v>N</v>
      </c>
      <c r="P21" s="141" t="str">
        <f>if(P20&lt;'STEP 3 for each FIN'!Length_block,"Y","N")</f>
        <v>N</v>
      </c>
      <c r="Q21" s="141" t="str">
        <f>if(Q20&lt;'STEP 3 for each FIN'!Length_block,"Y","N")</f>
        <v>N</v>
      </c>
      <c r="R21" s="141" t="str">
        <f>if(R20&lt;'STEP 3 for each FIN'!Length_block,"Y","N")</f>
        <v>N</v>
      </c>
      <c r="S21" s="141" t="str">
        <f>if(S20&lt;'STEP 3 for each FIN'!Length_block,"Y","N")</f>
        <v>N</v>
      </c>
      <c r="T21" s="141" t="str">
        <f>if(T20&lt;'STEP 3 for each FIN'!Length_block,"Y","N")</f>
        <v>N</v>
      </c>
      <c r="U21" s="141" t="str">
        <f>if(U20&lt;'STEP 3 for each FIN'!Length_block,"Y","N")</f>
        <v>N</v>
      </c>
      <c r="V21" s="141" t="str">
        <f>if(V20&lt;'STEP 3 for each FIN'!Length_block,"Y","N")</f>
        <v>N</v>
      </c>
      <c r="W21" s="141" t="str">
        <f>if(W20&lt;'STEP 3 for each FIN'!Length_block,"Y","N")</f>
        <v>N</v>
      </c>
      <c r="X21" s="141" t="str">
        <f>if(X20&lt;'STEP 3 for each FIN'!Length_block,"Y","N")</f>
        <v>N</v>
      </c>
      <c r="Y21" s="141" t="str">
        <f>if(Y20&lt;'STEP 3 for each FIN'!Length_block,"Y","N")</f>
        <v>N</v>
      </c>
      <c r="Z21" s="141" t="str">
        <f>if(Z20&lt;'STEP 3 for each FIN'!Length_block,"Y","N")</f>
        <v>N</v>
      </c>
      <c r="AA21" s="141" t="str">
        <f>if(AA20&lt;'STEP 3 for each FIN'!Length_block,"Y","N")</f>
        <v>N</v>
      </c>
      <c r="AB21" s="141" t="str">
        <f>if(AB20&lt;'STEP 3 for each FIN'!Length_block,"Y","N")</f>
        <v>N</v>
      </c>
      <c r="AC21" s="141" t="str">
        <f>if(AC20&lt;'STEP 3 for each FIN'!Length_block,"Y","N")</f>
        <v>N</v>
      </c>
      <c r="AD21" s="141" t="str">
        <f>if(AD20&lt;'STEP 3 for each FIN'!Length_block,"Y","N")</f>
        <v>N</v>
      </c>
      <c r="AE21" s="141" t="str">
        <f>if(AE20&lt;'STEP 3 for each FIN'!Length_block,"Y","N")</f>
        <v>N</v>
      </c>
      <c r="AF21" s="141" t="str">
        <f>if(AF20&lt;'STEP 3 for each FIN'!Length_block,"Y","N")</f>
        <v>N</v>
      </c>
      <c r="AG21" s="141" t="str">
        <f>if(AG20&lt;'STEP 3 for each FIN'!Length_block,"Y","N")</f>
        <v>N</v>
      </c>
      <c r="AH21" s="141" t="str">
        <f>if(AH20&lt;'STEP 3 for each FIN'!Length_block,"Y","N")</f>
        <v>N</v>
      </c>
      <c r="AI21" s="141" t="str">
        <f>if(AI20&lt;'STEP 3 for each FIN'!Length_block,"Y","N")</f>
        <v>N</v>
      </c>
      <c r="AJ21" s="141" t="str">
        <f>if(AJ20&lt;'STEP 3 for each FIN'!Length_block,"Y","N")</f>
        <v>N</v>
      </c>
      <c r="AK21" s="141" t="str">
        <f>if(AK20&lt;'STEP 3 for each FIN'!Length_block,"Y","N")</f>
        <v>N</v>
      </c>
      <c r="AL21" s="141" t="str">
        <f>if(AL20&lt;'STEP 3 for each FIN'!Length_block,"Y","N")</f>
        <v>N</v>
      </c>
      <c r="AM21" s="141" t="str">
        <f>if(AM20&lt;'STEP 3 for each FIN'!Length_block,"Y","N")</f>
        <v>N</v>
      </c>
      <c r="AN21" s="141" t="str">
        <f>if(AN20&lt;'STEP 3 for each FIN'!Length_block,"Y","N")</f>
        <v>N</v>
      </c>
      <c r="AO21" s="141" t="str">
        <f>if(AO20&lt;'STEP 3 for each FIN'!Length_block,"Y","N")</f>
        <v>N</v>
      </c>
      <c r="AP21" s="141" t="str">
        <f>if(AP20&lt;'STEP 3 for each FIN'!Length_block,"Y","N")</f>
        <v>N</v>
      </c>
      <c r="AQ21" s="141"/>
      <c r="AR21" s="141"/>
      <c r="AS21" s="141"/>
    </row>
    <row r="22">
      <c r="B22" s="149" t="s">
        <v>224</v>
      </c>
      <c r="C22" s="165">
        <f>C17*C19</f>
        <v>0.0001061765618</v>
      </c>
      <c r="E22" s="158" t="s">
        <v>225</v>
      </c>
      <c r="F22" s="141">
        <f>if(F19="T",0.023*F18^0.8*Pr^0.4, if(F19="L",if(F21="Y",$R$2,3.66+(0.065*$C$24/'STEP 3 for each FIN'!Length_block*F18*Pr)/(1+0.04*($C$24/'STEP 3 for each FIN'!Length_block*F18*Pr)^(2/3)))))</f>
        <v>2.734</v>
      </c>
      <c r="G22" s="141">
        <f>if(G19="T",0.023*G18^0.8*Pr^0.4, if(G19="L",if(G21="Y",$R$2,3.66+(0.065*$C$24/'STEP 3 for each FIN'!Length_block*G18*Pr)/(1+0.04*($C$24/'STEP 3 for each FIN'!Length_block*G18*Pr)^(2/3)))))</f>
        <v>2.734</v>
      </c>
      <c r="H22" s="141">
        <f>if(H19="T",0.023*H18^0.8*Pr^0.4, if(H19="L",if(H21="Y",$R$2,3.66+(0.065*$C$24/'STEP 3 for each FIN'!Length_block*H18*Pr)/(1+0.04*($C$24/'STEP 3 for each FIN'!Length_block*H18*Pr)^(2/3)))))</f>
        <v>2.734</v>
      </c>
      <c r="I22" s="142">
        <f>if(I19="T",0.023*I18^0.8*Pr^0.4, if(I19="L",if(I21="Y",$R$2,3.66+(0.065*$C$24/'STEP 3 for each FIN'!Length_block*I18*Pr)/(1+0.04*($C$24/'STEP 3 for each FIN'!Length_block*I18*Pr)^(2/3)))))</f>
        <v>4.421490983</v>
      </c>
      <c r="J22" s="142">
        <f>if(J19="T",0.023*J18^0.8*Pr^0.4, if(J19="L",if(J21="Y",$R$2,3.66+(0.065*$C$24/'STEP 3 for each FIN'!Length_block*J18*Pr)/(1+0.04*($C$24/'STEP 3 for each FIN'!Length_block*J18*Pr)^(2/3)))))</f>
        <v>4.454517806</v>
      </c>
      <c r="K22" s="142">
        <f>if(K19="T",0.023*K18^0.8*Pr^0.4, if(K19="L",if(K21="Y",$R$2,3.66+(0.065*$C$24/'STEP 3 for each FIN'!Length_block*K18*Pr)/(1+0.04*($C$24/'STEP 3 for each FIN'!Length_block*K18*Pr)^(2/3)))))</f>
        <v>4.487212001</v>
      </c>
      <c r="L22" s="142">
        <f>if(L19="T",0.023*L18^0.8*Pr^0.4, if(L19="L",if(L21="Y",$R$2,3.66+(0.065*$C$24/'STEP 3 for each FIN'!Length_block*L18*Pr)/(1+0.04*($C$24/'STEP 3 for each FIN'!Length_block*L18*Pr)^(2/3)))))</f>
        <v>4.519584246</v>
      </c>
      <c r="M22" s="142">
        <f>if(M19="T",0.023*M18^0.8*Pr^0.4, if(M19="L",if(M21="Y",$R$2,3.66+(0.065*$C$24/'STEP 3 for each FIN'!Length_block*M18*Pr)/(1+0.04*($C$24/'STEP 3 for each FIN'!Length_block*M18*Pr)^(2/3)))))</f>
        <v>4.551644547</v>
      </c>
      <c r="N22" s="142">
        <f>if(N19="T",0.023*N18^0.8*Pr^0.4, if(N19="L",if(N21="Y",$R$2,3.66+(0.065*$C$24/'STEP 3 for each FIN'!Length_block*N18*Pr)/(1+0.04*($C$24/'STEP 3 for each FIN'!Length_block*N18*Pr)^(2/3)))))</f>
        <v>4.583402302</v>
      </c>
      <c r="O22" s="142">
        <f>if(O19="T",0.023*O18^0.8*Pr^0.4, if(O19="L",if(O21="Y",$R$2,3.66+(0.065*$C$24/'STEP 3 for each FIN'!Length_block*O18*Pr)/(1+0.04*($C$24/'STEP 3 for each FIN'!Length_block*O18*Pr)^(2/3)))))</f>
        <v>4.614866361</v>
      </c>
      <c r="P22" s="142">
        <f>if(P19="T",0.023*P18^0.8*Pr^0.4, if(P19="L",if(P21="Y",$R$2,3.66+(0.065*$C$24/'STEP 3 for each FIN'!Length_block*P18*Pr)/(1+0.04*($C$24/'STEP 3 for each FIN'!Length_block*P18*Pr)^(2/3)))))</f>
        <v>4.646045072</v>
      </c>
      <c r="Q22" s="142">
        <f>if(Q19="T",0.023*Q18^0.8*Pr^0.4, if(Q19="L",if(Q21="Y",$R$2,3.66+(0.065*$C$24/'STEP 3 for each FIN'!Length_block*Q18*Pr)/(1+0.04*($C$24/'STEP 3 for each FIN'!Length_block*Q18*Pr)^(2/3)))))</f>
        <v>4.676946329</v>
      </c>
      <c r="R22" s="142">
        <f>if(R19="T",0.023*R18^0.8*Pr^0.4, if(R19="L",if(R21="Y",$R$2,3.66+(0.065*$C$24/'STEP 3 for each FIN'!Length_block*R18*Pr)/(1+0.04*($C$24/'STEP 3 for each FIN'!Length_block*R18*Pr)^(2/3)))))</f>
        <v>4.707577608</v>
      </c>
      <c r="S22" s="142">
        <f>if(S19="T",0.023*S18^0.8*Pr^0.4, if(S19="L",if(S21="Y",$R$2,3.66+(0.065*$C$24/'STEP 3 for each FIN'!Length_block*S18*Pr)/(1+0.04*($C$24/'STEP 3 for each FIN'!Length_block*S18*Pr)^(2/3)))))</f>
        <v>4.737946</v>
      </c>
      <c r="T22" s="142">
        <f>if(T19="T",0.023*T18^0.8*Pr^0.4, if(T19="L",if(T21="Y",$R$2,3.66+(0.065*$C$24/'STEP 3 for each FIN'!Length_block*T18*Pr)/(1+0.04*($C$24/'STEP 3 for each FIN'!Length_block*T18*Pr)^(2/3)))))</f>
        <v>4.768058245</v>
      </c>
      <c r="U22" s="142">
        <f>if(U19="T",0.023*U18^0.8*Pr^0.4, if(U19="L",if(U21="Y",$R$2,3.66+(0.065*$C$24/'STEP 3 for each FIN'!Length_block*U18*Pr)/(1+0.04*($C$24/'STEP 3 for each FIN'!Length_block*U18*Pr)^(2/3)))))</f>
        <v>4.797920754</v>
      </c>
      <c r="V22" s="142">
        <f>if(V19="T",0.023*V18^0.8*Pr^0.4, if(V19="L",if(V21="Y",$R$2,3.66+(0.065*$C$24/'STEP 3 for each FIN'!Length_block*V18*Pr)/(1+0.04*($C$24/'STEP 3 for each FIN'!Length_block*V18*Pr)^(2/3)))))</f>
        <v>4.827539638</v>
      </c>
      <c r="W22" s="142">
        <f>if(W19="T",0.023*W18^0.8*Pr^0.4, if(W19="L",if(W21="Y",$R$2,3.66+(0.065*$C$24/'STEP 3 for each FIN'!Length_block*W18*Pr)/(1+0.04*($C$24/'STEP 3 for each FIN'!Length_block*W18*Pr)^(2/3)))))</f>
        <v>4.856920729</v>
      </c>
      <c r="X22" s="142">
        <f>if(X19="T",0.023*X18^0.8*Pr^0.4, if(X19="L",if(X21="Y",$R$2,3.66+(0.065*$C$24/'STEP 3 for each FIN'!Length_block*X18*Pr)/(1+0.04*($C$24/'STEP 3 for each FIN'!Length_block*X18*Pr)^(2/3)))))</f>
        <v>4.886069595</v>
      </c>
      <c r="Y22" s="142">
        <f>if(Y19="T",0.023*Y18^0.8*Pr^0.4, if(Y19="L",if(Y21="Y",$R$2,3.66+(0.065*$C$24/'STEP 3 for each FIN'!Length_block*Y18*Pr)/(1+0.04*($C$24/'STEP 3 for each FIN'!Length_block*Y18*Pr)^(2/3)))))</f>
        <v>5.028509382</v>
      </c>
      <c r="Z22" s="142">
        <f>if(Z19="T",0.023*Z18^0.8*Pr^0.4, if(Z19="L",if(Z21="Y",$R$2,3.66+(0.065*$C$24/'STEP 3 for each FIN'!Length_block*Z18*Pr)/(1+0.04*($C$24/'STEP 3 for each FIN'!Length_block*Z18*Pr)^(2/3)))))</f>
        <v>5.165856281</v>
      </c>
      <c r="AA22" s="142">
        <f>if(AA19="T",0.023*AA18^0.8*Pr^0.4, if(AA19="L",if(AA21="Y",$R$2,3.66+(0.065*$C$24/'STEP 3 for each FIN'!Length_block*AA18*Pr)/(1+0.04*($C$24/'STEP 3 for each FIN'!Length_block*AA18*Pr)^(2/3)))))</f>
        <v>5.192758788</v>
      </c>
      <c r="AB22" s="142">
        <f>if(AB19="T",0.023*AB18^0.8*Pr^0.4, if(AB19="L",if(AB21="Y",$R$2,3.66+(0.065*$C$24/'STEP 3 for each FIN'!Length_block*AB18*Pr)/(1+0.04*($C$24/'STEP 3 for each FIN'!Length_block*AB18*Pr)^(2/3)))))</f>
        <v>5.21948073</v>
      </c>
      <c r="AC22" s="142">
        <f>if(AC19="T",0.023*AC18^0.8*Pr^0.4, if(AC19="L",if(AC21="Y",$R$2,3.66+(0.065*$C$24/'STEP 3 for each FIN'!Length_block*AC18*Pr)/(1+0.04*($C$24/'STEP 3 for each FIN'!Length_block*AC18*Pr)^(2/3)))))</f>
        <v>5.246025459</v>
      </c>
      <c r="AD22" s="142">
        <f>if(AD19="T",0.023*AD18^0.8*Pr^0.4, if(AD19="L",if(AD21="Y",$R$2,3.66+(0.065*$C$24/'STEP 3 for each FIN'!Length_block*AD18*Pr)/(1+0.04*($C$24/'STEP 3 for each FIN'!Length_block*AD18*Pr)^(2/3)))))</f>
        <v>5.272396214</v>
      </c>
      <c r="AE22" s="142">
        <f>if(AE19="T",0.023*AE18^0.8*Pr^0.4, if(AE19="L",if(AE21="Y",$R$2,3.66+(0.065*$C$24/'STEP 3 for each FIN'!Length_block*AE18*Pr)/(1+0.04*($C$24/'STEP 3 for each FIN'!Length_block*AE18*Pr)^(2/3)))))</f>
        <v>5.298596127</v>
      </c>
      <c r="AF22" s="142">
        <f>if(AF19="T",0.023*AF18^0.8*Pr^0.4, if(AF19="L",if(AF21="Y",$R$2,3.66+(0.065*$C$24/'STEP 3 for each FIN'!Length_block*AF18*Pr)/(1+0.04*($C$24/'STEP 3 for each FIN'!Length_block*AF18*Pr)^(2/3)))))</f>
        <v>5.376200675</v>
      </c>
      <c r="AG22" s="142">
        <f>if(AG19="T",0.023*AG18^0.8*Pr^0.4, if(AG19="L",if(AG21="Y",$R$2,3.66+(0.065*$C$24/'STEP 3 for each FIN'!Length_block*AG18*Pr)/(1+0.04*($C$24/'STEP 3 for each FIN'!Length_block*AG18*Pr)^(2/3)))))</f>
        <v>5.427135958</v>
      </c>
      <c r="AH22" s="142">
        <f>if(AH19="T",0.023*AH18^0.8*Pr^0.4, if(AH19="L",if(AH21="Y",$R$2,3.66+(0.065*$C$24/'STEP 3 for each FIN'!Length_block*AH18*Pr)/(1+0.04*($C$24/'STEP 3 for each FIN'!Length_block*AH18*Pr)^(2/3)))))</f>
        <v>5.551822005</v>
      </c>
      <c r="AI22" s="142">
        <f>if(AI19="T",0.023*AI18^0.8*Pr^0.4, if(AI19="L",if(AI21="Y",$R$2,3.66+(0.065*$C$24/'STEP 3 for each FIN'!Length_block*AI18*Pr)/(1+0.04*($C$24/'STEP 3 for each FIN'!Length_block*AI18*Pr)^(2/3)))))</f>
        <v>5.790786947</v>
      </c>
      <c r="AJ22" s="142">
        <f>if(AJ19="T",0.023*AJ18^0.8*Pr^0.4, if(AJ19="L",if(AJ21="Y",$R$2,3.66+(0.065*$C$24/'STEP 3 for each FIN'!Length_block*AJ18*Pr)/(1+0.04*($C$24/'STEP 3 for each FIN'!Length_block*AJ18*Pr)^(2/3)))))</f>
        <v>6.017453509</v>
      </c>
      <c r="AK22" s="142">
        <f>if(AK19="T",0.023*AK18^0.8*Pr^0.4, if(AK19="L",if(AK21="Y",$R$2,3.66+(0.065*$C$24/'STEP 3 for each FIN'!Length_block*AK18*Pr)/(1+0.04*($C$24/'STEP 3 for each FIN'!Length_block*AK18*Pr)^(2/3)))))</f>
        <v>6.233355502</v>
      </c>
      <c r="AL22" s="142">
        <f>if(AL19="T",0.023*AL18^0.8*Pr^0.4, if(AL19="L",if(AL21="Y",$R$2,3.66+(0.065*$C$24/'STEP 3 for each FIN'!Length_block*AL18*Pr)/(1+0.04*($C$24/'STEP 3 for each FIN'!Length_block*AL18*Pr)^(2/3)))))</f>
        <v>6.275356773</v>
      </c>
      <c r="AM22" s="142">
        <f>if(AM19="T",0.023*AM18^0.8*Pr^0.4, if(AM19="L",if(AM21="Y",$R$2,3.66+(0.065*$C$24/'STEP 3 for each FIN'!Length_block*AM18*Pr)/(1+0.04*($C$24/'STEP 3 for each FIN'!Length_block*AM18*Pr)^(2/3)))))</f>
        <v>6.316986044</v>
      </c>
      <c r="AN22" s="142">
        <f>if(AN19="T",0.023*AN18^0.8*Pr^0.4, if(AN19="L",if(AN21="Y",$R$2,3.66+(0.065*$C$24/'STEP 3 for each FIN'!Length_block*AN18*Pr)/(1+0.04*($C$24/'STEP 3 for each FIN'!Length_block*AN18*Pr)^(2/3)))))</f>
        <v>6.358251644</v>
      </c>
      <c r="AO22" s="142">
        <f>if(AO19="T",0.023*AO18^0.8*Pr^0.4, if(AO19="L",if(AO21="Y",$R$2,3.66+(0.065*$C$24/'STEP 3 for each FIN'!Length_block*AO18*Pr)/(1+0.04*($C$24/'STEP 3 for each FIN'!Length_block*AO18*Pr)^(2/3)))))</f>
        <v>6.439723586</v>
      </c>
      <c r="AP22" s="141">
        <f>if(AP19="T",0.023*AP18^0.8*Pr^0.4, if(AP19="L",if(AP21="Y",$R$2,3.66+(0.065*$C$24/'STEP 3 for each FIN'!Length_block*AP18*Pr)/(1+0.04*($C$24/'STEP 3 for each FIN'!Length_block*AP18*Pr)^(2/3)))))</f>
        <v>11.96615535</v>
      </c>
      <c r="AQ22" s="141"/>
      <c r="AR22" s="141"/>
      <c r="AS22" s="141"/>
    </row>
    <row r="23">
      <c r="B23" s="149" t="s">
        <v>226</v>
      </c>
      <c r="C23" s="160">
        <f>2*C17+C19</f>
        <v>0.0402336</v>
      </c>
      <c r="E23" s="158" t="s">
        <v>198</v>
      </c>
      <c r="F23" s="142">
        <f>F22*k_air/$C$24</f>
        <v>6.368795197</v>
      </c>
      <c r="G23" s="142">
        <f>G22*k_air/$C$24</f>
        <v>6.368795197</v>
      </c>
      <c r="H23" s="142">
        <f>H22*k_air/$C$24</f>
        <v>6.368795197</v>
      </c>
      <c r="I23" s="142">
        <f>I22*k_air/$C$24</f>
        <v>10.29976977</v>
      </c>
      <c r="J23" s="142">
        <f>J22*k_air/$C$24</f>
        <v>10.37670505</v>
      </c>
      <c r="K23" s="142">
        <f>K22*k_air/$C$24</f>
        <v>10.45286549</v>
      </c>
      <c r="L23" s="142">
        <f>L22*k_air/$C$24</f>
        <v>10.52827595</v>
      </c>
      <c r="M23" s="142">
        <f>M22*k_air/$C$24</f>
        <v>10.60295974</v>
      </c>
      <c r="N23" s="142">
        <f>N22*k_air/$C$24</f>
        <v>10.67693876</v>
      </c>
      <c r="O23" s="142">
        <f>O22*k_air/$C$24</f>
        <v>10.75023362</v>
      </c>
      <c r="P23" s="142">
        <f>P22*k_air/$C$24</f>
        <v>10.82286377</v>
      </c>
      <c r="Q23" s="142">
        <f>Q22*k_air/$C$24</f>
        <v>10.89484759</v>
      </c>
      <c r="R23" s="142">
        <f>R22*k_air/$C$24</f>
        <v>10.96620251</v>
      </c>
      <c r="S23" s="142">
        <f>S22*k_air/$C$24</f>
        <v>11.03694504</v>
      </c>
      <c r="T23" s="142">
        <f>T22*k_air/$C$24</f>
        <v>11.10709087</v>
      </c>
      <c r="U23" s="142">
        <f>U22*k_air/$C$24</f>
        <v>11.17665496</v>
      </c>
      <c r="V23" s="142">
        <f>V22*k_air/$C$24</f>
        <v>11.24565152</v>
      </c>
      <c r="W23" s="142">
        <f>W22*k_air/$C$24</f>
        <v>11.31409415</v>
      </c>
      <c r="X23" s="142">
        <f>X22*k_air/$C$24</f>
        <v>11.38199582</v>
      </c>
      <c r="Y23" s="142">
        <f>Y22*k_air/$C$24</f>
        <v>11.71380629</v>
      </c>
      <c r="Z23" s="142">
        <f>Z22*k_air/$C$24</f>
        <v>12.03375299</v>
      </c>
      <c r="AA23" s="142">
        <f>AA22*k_air/$C$24</f>
        <v>12.09642181</v>
      </c>
      <c r="AB23" s="142">
        <f>AB22*k_air/$C$24</f>
        <v>12.15867001</v>
      </c>
      <c r="AC23" s="142">
        <f>AC22*k_air/$C$24</f>
        <v>12.22050539</v>
      </c>
      <c r="AD23" s="142">
        <f>AD22*k_air/$C$24</f>
        <v>12.28193551</v>
      </c>
      <c r="AE23" s="142">
        <f>AE22*k_air/$C$24</f>
        <v>12.34296765</v>
      </c>
      <c r="AF23" s="142">
        <f>AF22*k_air/$C$24</f>
        <v>12.52374581</v>
      </c>
      <c r="AG23" s="142">
        <f>AG22*k_air/$C$24</f>
        <v>12.64239847</v>
      </c>
      <c r="AH23" s="142">
        <f>AH22*k_air/$C$24</f>
        <v>12.93285198</v>
      </c>
      <c r="AI23" s="142">
        <f>AI22*k_air/$C$24</f>
        <v>13.48951576</v>
      </c>
      <c r="AJ23" s="142">
        <f>AJ22*k_air/$C$24</f>
        <v>14.01753073</v>
      </c>
      <c r="AK23" s="142">
        <f>AK22*k_air/$C$24</f>
        <v>14.52046986</v>
      </c>
      <c r="AL23" s="142">
        <f>AL22*k_air/$C$24</f>
        <v>14.61831093</v>
      </c>
      <c r="AM23" s="142">
        <f>AM22*k_air/$C$24</f>
        <v>14.71528544</v>
      </c>
      <c r="AN23" s="142">
        <f>AN22*k_air/$C$24</f>
        <v>14.81141278</v>
      </c>
      <c r="AO23" s="142">
        <f>AO22*k_air/$C$24</f>
        <v>15.00119994</v>
      </c>
      <c r="AP23" s="142">
        <f>AP22*k_air/$C$24</f>
        <v>27.8749059</v>
      </c>
      <c r="AQ23" s="142"/>
      <c r="AR23" s="142"/>
      <c r="AS23" s="142"/>
    </row>
    <row r="24">
      <c r="B24" s="149" t="s">
        <v>242</v>
      </c>
      <c r="C24" s="161">
        <f>4*C22/C23</f>
        <v>0.01055600909</v>
      </c>
      <c r="E24" s="158" t="s">
        <v>228</v>
      </c>
      <c r="F24" s="142">
        <f>sqrt(F23*$C$23/(k_alum*$C$22))</f>
        <v>3.191057182</v>
      </c>
      <c r="G24" s="142">
        <f>sqrt(G23*$C$23/(k_alum*$C$22))</f>
        <v>3.191057182</v>
      </c>
      <c r="H24" s="142">
        <f>sqrt(H23*$C$23/(k_alum*$C$22))</f>
        <v>3.191057182</v>
      </c>
      <c r="I24" s="142">
        <f>sqrt(I23*$C$23/(k_alum*$C$22))</f>
        <v>4.05807158</v>
      </c>
      <c r="J24" s="142">
        <f>sqrt(J23*$C$23/(k_alum*$C$22))</f>
        <v>4.073199493</v>
      </c>
      <c r="K24" s="142">
        <f>sqrt(K23*$C$23/(k_alum*$C$22))</f>
        <v>4.08811991</v>
      </c>
      <c r="L24" s="142">
        <f>sqrt(L23*$C$23/(k_alum*$C$22))</f>
        <v>4.102839939</v>
      </c>
      <c r="M24" s="142">
        <f>sqrt(M23*$C$23/(k_alum*$C$22))</f>
        <v>4.117366257</v>
      </c>
      <c r="N24" s="142">
        <f>sqrt(N23*$C$23/(k_alum*$C$22))</f>
        <v>4.131705143</v>
      </c>
      <c r="O24" s="142">
        <f>sqrt(O23*$C$23/(k_alum*$C$22))</f>
        <v>4.145862516</v>
      </c>
      <c r="P24" s="142">
        <f>sqrt(P23*$C$23/(k_alum*$C$22))</f>
        <v>4.159843967</v>
      </c>
      <c r="Q24" s="142">
        <f>sqrt(Q23*$C$23/(k_alum*$C$22))</f>
        <v>4.173654786</v>
      </c>
      <c r="R24" s="142">
        <f>sqrt(R23*$C$23/(k_alum*$C$22))</f>
        <v>4.187299986</v>
      </c>
      <c r="S24" s="142">
        <f>sqrt(S23*$C$23/(k_alum*$C$22))</f>
        <v>4.200784326</v>
      </c>
      <c r="T24" s="142">
        <f>sqrt(T23*$C$23/(k_alum*$C$22))</f>
        <v>4.214112326</v>
      </c>
      <c r="U24" s="142">
        <f>sqrt(U23*$C$23/(k_alum*$C$22))</f>
        <v>4.227288291</v>
      </c>
      <c r="V24" s="142">
        <f>sqrt(V23*$C$23/(k_alum*$C$22))</f>
        <v>4.240316323</v>
      </c>
      <c r="W24" s="142">
        <f>sqrt(W23*$C$23/(k_alum*$C$22))</f>
        <v>4.253200332</v>
      </c>
      <c r="X24" s="142">
        <f>sqrt(X23*$C$23/(k_alum*$C$22))</f>
        <v>4.265944056</v>
      </c>
      <c r="Y24" s="142">
        <f>sqrt(Y23*$C$23/(k_alum*$C$22))</f>
        <v>4.327678241</v>
      </c>
      <c r="Z24" s="142">
        <f>sqrt(Z23*$C$23/(k_alum*$C$22))</f>
        <v>4.386382409</v>
      </c>
      <c r="AA24" s="142">
        <f>sqrt(AA23*$C$23/(k_alum*$C$22))</f>
        <v>4.397789177</v>
      </c>
      <c r="AB24" s="142">
        <f>sqrt(AB23*$C$23/(k_alum*$C$22))</f>
        <v>4.409090171</v>
      </c>
      <c r="AC24" s="142">
        <f>sqrt(AC23*$C$23/(k_alum*$C$22))</f>
        <v>4.420287614</v>
      </c>
      <c r="AD24" s="142">
        <f>sqrt(AD23*$C$23/(k_alum*$C$22))</f>
        <v>4.431383652</v>
      </c>
      <c r="AE24" s="142">
        <f>sqrt(AE23*$C$23/(k_alum*$C$22))</f>
        <v>4.442380359</v>
      </c>
      <c r="AF24" s="142">
        <f>sqrt(AF23*$C$23/(k_alum*$C$22))</f>
        <v>4.474794205</v>
      </c>
      <c r="AG24" s="142">
        <f>sqrt(AG23*$C$23/(k_alum*$C$22))</f>
        <v>4.495941816</v>
      </c>
      <c r="AH24" s="142">
        <f>sqrt(AH23*$C$23/(k_alum*$C$22))</f>
        <v>4.547294675</v>
      </c>
      <c r="AI24" s="142">
        <f>sqrt(AI23*$C$23/(k_alum*$C$22))</f>
        <v>4.644127398</v>
      </c>
      <c r="AJ24" s="142">
        <f>sqrt(AJ23*$C$23/(k_alum*$C$22))</f>
        <v>4.73414661</v>
      </c>
      <c r="AK24" s="142">
        <f>sqrt(AK23*$C$23/(k_alum*$C$22))</f>
        <v>4.818327102</v>
      </c>
      <c r="AL24" s="142">
        <f>sqrt(AL23*$C$23/(k_alum*$C$22))</f>
        <v>4.834533148</v>
      </c>
      <c r="AM24" s="142">
        <f>sqrt(AM23*$C$23/(k_alum*$C$22))</f>
        <v>4.850542232</v>
      </c>
      <c r="AN24" s="142">
        <f>sqrt(AN23*$C$23/(k_alum*$C$22))</f>
        <v>4.866359483</v>
      </c>
      <c r="AO24" s="142">
        <f>sqrt(AO23*$C$23/(k_alum*$C$22))</f>
        <v>4.897437978</v>
      </c>
      <c r="AP24" s="142">
        <f>sqrt(AP23*$C$23/(k_alum*$C$22))</f>
        <v>6.675943459</v>
      </c>
      <c r="AQ24" s="142"/>
      <c r="AR24" s="142"/>
      <c r="AS24" s="142"/>
    </row>
    <row r="25">
      <c r="B25" s="149" t="s">
        <v>187</v>
      </c>
      <c r="C25" s="166">
        <f>C23*C9*C20</f>
        <v>1.336476773</v>
      </c>
      <c r="E25" s="158" t="s">
        <v>229</v>
      </c>
      <c r="F25" s="167">
        <f t="shared" ref="F25:AP25" si="6">tanh(F24*$C$9)/(F24*$C$9)</f>
        <v>0.9279716353</v>
      </c>
      <c r="G25" s="167">
        <f t="shared" si="6"/>
        <v>0.9279716353</v>
      </c>
      <c r="H25" s="167">
        <f t="shared" si="6"/>
        <v>0.9279716353</v>
      </c>
      <c r="I25" s="167">
        <f t="shared" si="6"/>
        <v>0.8893975036</v>
      </c>
      <c r="J25" s="167">
        <f t="shared" si="6"/>
        <v>0.8886813125</v>
      </c>
      <c r="K25" s="167">
        <f t="shared" si="6"/>
        <v>0.8879737227</v>
      </c>
      <c r="L25" s="167">
        <f t="shared" si="6"/>
        <v>0.8872744575</v>
      </c>
      <c r="M25" s="167">
        <f t="shared" si="6"/>
        <v>0.8865832572</v>
      </c>
      <c r="N25" s="167">
        <f t="shared" si="6"/>
        <v>0.8858998774</v>
      </c>
      <c r="O25" s="167">
        <f t="shared" si="6"/>
        <v>0.8852240876</v>
      </c>
      <c r="P25" s="167">
        <f t="shared" si="6"/>
        <v>0.8845556703</v>
      </c>
      <c r="Q25" s="167">
        <f t="shared" si="6"/>
        <v>0.883894419</v>
      </c>
      <c r="R25" s="167">
        <f t="shared" si="6"/>
        <v>0.8832401383</v>
      </c>
      <c r="S25" s="167">
        <f t="shared" si="6"/>
        <v>0.8825926426</v>
      </c>
      <c r="T25" s="167">
        <f t="shared" si="6"/>
        <v>0.8819517551</v>
      </c>
      <c r="U25" s="167">
        <f t="shared" si="6"/>
        <v>0.8813173074</v>
      </c>
      <c r="V25" s="167">
        <f t="shared" si="6"/>
        <v>0.8806891391</v>
      </c>
      <c r="W25" s="167">
        <f t="shared" si="6"/>
        <v>0.8800670968</v>
      </c>
      <c r="X25" s="167">
        <f t="shared" si="6"/>
        <v>0.879451034</v>
      </c>
      <c r="Y25" s="167">
        <f t="shared" si="6"/>
        <v>0.8764556968</v>
      </c>
      <c r="Z25" s="167">
        <f t="shared" si="6"/>
        <v>0.873591036</v>
      </c>
      <c r="AA25" s="167">
        <f t="shared" si="6"/>
        <v>0.8730326139</v>
      </c>
      <c r="AB25" s="167">
        <f t="shared" si="6"/>
        <v>0.8724788062</v>
      </c>
      <c r="AC25" s="167">
        <f t="shared" si="6"/>
        <v>0.871929524</v>
      </c>
      <c r="AD25" s="167">
        <f t="shared" si="6"/>
        <v>0.8713846815</v>
      </c>
      <c r="AE25" s="167">
        <f t="shared" si="6"/>
        <v>0.8708441956</v>
      </c>
      <c r="AF25" s="167">
        <f t="shared" si="6"/>
        <v>0.8692480856</v>
      </c>
      <c r="AG25" s="167">
        <f t="shared" si="6"/>
        <v>0.8682043859</v>
      </c>
      <c r="AH25" s="167">
        <f t="shared" si="6"/>
        <v>0.8656624206</v>
      </c>
      <c r="AI25" s="167">
        <f t="shared" si="6"/>
        <v>0.8608413896</v>
      </c>
      <c r="AJ25" s="167">
        <f t="shared" si="6"/>
        <v>0.8563290364</v>
      </c>
      <c r="AK25" s="167">
        <f t="shared" si="6"/>
        <v>0.8520847345</v>
      </c>
      <c r="AL25" s="167">
        <f t="shared" si="6"/>
        <v>0.8512650634</v>
      </c>
      <c r="AM25" s="167">
        <f t="shared" si="6"/>
        <v>0.8504545668</v>
      </c>
      <c r="AN25" s="167">
        <f t="shared" si="6"/>
        <v>0.8496530255</v>
      </c>
      <c r="AO25" s="167">
        <f t="shared" si="6"/>
        <v>0.8480759722</v>
      </c>
      <c r="AP25" s="167">
        <f t="shared" si="6"/>
        <v>0.7556522912</v>
      </c>
      <c r="AQ25" s="145"/>
      <c r="AR25" s="145"/>
      <c r="AS25" s="145"/>
    </row>
    <row r="26">
      <c r="D26" s="5"/>
      <c r="E26" s="158" t="s">
        <v>191</v>
      </c>
      <c r="F26" s="159">
        <f>T_surf-(T_surf-T_inlet)*exp(-F23*$C$25/(F14*cp_air*1000))</f>
        <v>0.000003073844913</v>
      </c>
      <c r="G26" s="159">
        <f>T_surf-(T_surf-T_inlet)*exp(-G23*$C$25/(G14*cp_air*1000))</f>
        <v>0.2151745116</v>
      </c>
      <c r="H26" s="168">
        <f>T_surf-(T_surf-T_inlet)*exp(-H23*$C$25/(H14*cp_air*1000))</f>
        <v>0.8678195611</v>
      </c>
      <c r="I26" s="168">
        <f>T_surf-(T_surf-T_inlet)*exp(-I23*$C$25/(I14*cp_air*1000))</f>
        <v>1.133290725</v>
      </c>
      <c r="J26" s="168">
        <f>T_surf-(T_surf-T_inlet)*exp(-J23*$C$25/(J14*cp_air*1000))</f>
        <v>1.186254244</v>
      </c>
      <c r="K26" s="168">
        <f>T_surf-(T_surf-T_inlet)*exp(-K23*$C$25/(K14*cp_air*1000))</f>
        <v>1.236643171</v>
      </c>
      <c r="L26" s="168">
        <f>T_surf-(T_surf-T_inlet)*exp(-L23*$C$25/(L14*cp_air*1000))</f>
        <v>1.284609191</v>
      </c>
      <c r="M26" s="168">
        <f>T_surf-(T_surf-T_inlet)*exp(-M23*$C$25/(M14*cp_air*1000))</f>
        <v>1.330298866</v>
      </c>
      <c r="N26" s="168">
        <f>T_surf-(T_surf-T_inlet)*exp(-N23*$C$25/(N14*cp_air*1000))</f>
        <v>1.373852059</v>
      </c>
      <c r="O26" s="168">
        <f>T_surf-(T_surf-T_inlet)*exp(-O23*$C$25/(O14*cp_air*1000))</f>
        <v>1.4154011</v>
      </c>
      <c r="P26" s="168">
        <f>T_surf-(T_surf-T_inlet)*exp(-P23*$C$25/(P14*cp_air*1000))</f>
        <v>1.455070426</v>
      </c>
      <c r="Q26" s="168">
        <f>T_surf-(T_surf-T_inlet)*exp(-Q23*$C$25/(Q14*cp_air*1000))</f>
        <v>1.492976551</v>
      </c>
      <c r="R26" s="168">
        <f>T_surf-(T_surf-T_inlet)*exp(-R23*$C$25/(R14*cp_air*1000))</f>
        <v>1.529228235</v>
      </c>
      <c r="S26" s="168">
        <f>T_surf-(T_surf-T_inlet)*exp(-S23*$C$25/(S14*cp_air*1000))</f>
        <v>1.563926792</v>
      </c>
      <c r="T26" s="168">
        <f>T_surf-(T_surf-T_inlet)*exp(-T23*$C$25/(T14*cp_air*1000))</f>
        <v>1.597166464</v>
      </c>
      <c r="U26" s="168">
        <f>T_surf-(T_surf-T_inlet)*exp(-U23*$C$25/(U14*cp_air*1000))</f>
        <v>1.629034844</v>
      </c>
      <c r="V26" s="168">
        <f>T_surf-(T_surf-T_inlet)*exp(-V23*$C$25/(V14*cp_air*1000))</f>
        <v>1.659613302</v>
      </c>
      <c r="W26" s="168">
        <f>T_surf-(T_surf-T_inlet)*exp(-W23*$C$25/(W14*cp_air*1000))</f>
        <v>1.688977419</v>
      </c>
      <c r="X26" s="168">
        <f>T_surf-(T_surf-T_inlet)*exp(-X23*$C$25/(X14*cp_air*1000))</f>
        <v>1.717197407</v>
      </c>
      <c r="Y26" s="168">
        <f>T_surf-(T_surf-T_inlet)*exp(-Y23*$C$25/(Y14*cp_air*1000))</f>
        <v>1.843265302</v>
      </c>
      <c r="Z26" s="168">
        <f>T_surf-(T_surf-T_inlet)*exp(-Z23*$C$25/(Z14*cp_air*1000))</f>
        <v>1.948807441</v>
      </c>
      <c r="AA26" s="168">
        <f>T_surf-(T_surf-T_inlet)*exp(-AA23*$C$25/(AA14*cp_air*1000))</f>
        <v>1.967893691</v>
      </c>
      <c r="AB26" s="168">
        <f>T_surf-(T_surf-T_inlet)*exp(-AB23*$C$25/(AB14*cp_air*1000))</f>
        <v>1.986381825</v>
      </c>
      <c r="AC26" s="168">
        <f>T_surf-(T_surf-T_inlet)*exp(-AC23*$C$25/(AC14*cp_air*1000))</f>
        <v>2.004300332</v>
      </c>
      <c r="AD26" s="168">
        <f>T_surf-(T_surf-T_inlet)*exp(-AD23*$C$25/(AD14*cp_air*1000))</f>
        <v>2.021675941</v>
      </c>
      <c r="AE26" s="168">
        <f>T_surf-(T_surf-T_inlet)*exp(-AE23*$C$25/(AE14*cp_air*1000))</f>
        <v>2.03853375</v>
      </c>
      <c r="AF26" s="168">
        <f>T_surf-(T_surf-T_inlet)*exp(-AF23*$C$25/(AF14*cp_air*1000))</f>
        <v>2.086229378</v>
      </c>
      <c r="AG26" s="168">
        <f>T_surf-(T_surf-T_inlet)*exp(-AG23*$C$25/(AG14*cp_air*1000))</f>
        <v>2.115834458</v>
      </c>
      <c r="AH26" s="168">
        <f>T_surf-(T_surf-T_inlet)*exp(-AH23*$C$25/(AH14*cp_air*1000))</f>
        <v>2.183201316</v>
      </c>
      <c r="AI26" s="168">
        <f>T_surf-(T_surf-T_inlet)*exp(-AI23*$C$25/(AI14*cp_air*1000))</f>
        <v>2.295163183</v>
      </c>
      <c r="AJ26" s="168">
        <f>T_surf-(T_surf-T_inlet)*exp(-AJ23*$C$25/(AJ14*cp_air*1000))</f>
        <v>2.384756004</v>
      </c>
      <c r="AK26" s="168">
        <f>T_surf-(T_surf-T_inlet)*exp(-AK23*$C$25/(AK14*cp_air*1000))</f>
        <v>2.458349611</v>
      </c>
      <c r="AL26" s="168">
        <f>T_surf-(T_surf-T_inlet)*exp(-AL23*$C$25/(AL14*cp_air*1000))</f>
        <v>2.471539958</v>
      </c>
      <c r="AM26" s="168">
        <f>T_surf-(T_surf-T_inlet)*exp(-AM23*$C$25/(AM14*cp_air*1000))</f>
        <v>2.484285474</v>
      </c>
      <c r="AN26" s="168">
        <f>T_surf-(T_surf-T_inlet)*exp(-AN23*$C$25/(AN14*cp_air*1000))</f>
        <v>2.496609841</v>
      </c>
      <c r="AO26" s="168">
        <f>T_surf-(T_surf-T_inlet)*exp(-AO23*$C$25/(AO14*cp_air*1000))</f>
        <v>2.520081566</v>
      </c>
      <c r="AP26" s="159">
        <f>T_surf-(T_surf-T_inlet)*exp(-AP23*$C$25/(AP14*cp_air*1000))</f>
        <v>2.579468725</v>
      </c>
      <c r="AQ26" s="146"/>
      <c r="AR26" s="146"/>
      <c r="AS26" s="146"/>
    </row>
    <row r="27">
      <c r="D27" s="5"/>
      <c r="E27" s="139" t="s">
        <v>243</v>
      </c>
      <c r="F27" s="141">
        <f>T_surf-T_i</f>
        <v>5</v>
      </c>
      <c r="G27" s="141">
        <f>T_surf-T_i</f>
        <v>5</v>
      </c>
      <c r="H27" s="141">
        <f>T_surf-T_i</f>
        <v>5</v>
      </c>
      <c r="I27" s="141">
        <f>T_surf-T_i</f>
        <v>5</v>
      </c>
      <c r="J27" s="141">
        <f>T_surf-T_i</f>
        <v>5</v>
      </c>
      <c r="K27" s="141">
        <f>T_surf-T_i</f>
        <v>5</v>
      </c>
      <c r="L27" s="141">
        <f>T_surf-T_i</f>
        <v>5</v>
      </c>
      <c r="M27" s="141">
        <f>T_surf-T_i</f>
        <v>5</v>
      </c>
      <c r="N27" s="141">
        <f>T_surf-T_i</f>
        <v>5</v>
      </c>
      <c r="O27" s="141">
        <f>T_surf-T_i</f>
        <v>5</v>
      </c>
      <c r="P27" s="141">
        <f>T_surf-T_i</f>
        <v>5</v>
      </c>
      <c r="Q27" s="141">
        <f>T_surf-T_i</f>
        <v>5</v>
      </c>
      <c r="R27" s="141">
        <f>T_surf-T_i</f>
        <v>5</v>
      </c>
      <c r="S27" s="141">
        <f>T_surf-T_i</f>
        <v>5</v>
      </c>
      <c r="T27" s="141">
        <f>T_surf-T_i</f>
        <v>5</v>
      </c>
      <c r="U27" s="141">
        <f>T_surf-T_i</f>
        <v>5</v>
      </c>
      <c r="V27" s="141">
        <f>T_surf-T_i</f>
        <v>5</v>
      </c>
      <c r="W27" s="141">
        <f>T_surf-T_i</f>
        <v>5</v>
      </c>
      <c r="X27" s="141">
        <f>T_surf-T_i</f>
        <v>5</v>
      </c>
      <c r="Y27" s="141">
        <f>T_surf-T_i</f>
        <v>5</v>
      </c>
      <c r="Z27" s="141">
        <f>T_surf-T_i</f>
        <v>5</v>
      </c>
      <c r="AA27" s="141">
        <f>T_surf-T_i</f>
        <v>5</v>
      </c>
      <c r="AB27" s="141">
        <f>T_surf-T_i</f>
        <v>5</v>
      </c>
      <c r="AC27" s="141">
        <f>T_surf-T_i</f>
        <v>5</v>
      </c>
      <c r="AD27" s="141">
        <f>T_surf-T_i</f>
        <v>5</v>
      </c>
      <c r="AE27" s="141">
        <f>T_surf-T_i</f>
        <v>5</v>
      </c>
      <c r="AF27" s="141">
        <f>T_surf-T_i</f>
        <v>5</v>
      </c>
      <c r="AG27" s="141">
        <f>T_surf-T_i</f>
        <v>5</v>
      </c>
      <c r="AH27" s="141">
        <f>T_surf-T_i</f>
        <v>5</v>
      </c>
      <c r="AI27" s="141">
        <f>T_surf-T_i</f>
        <v>5</v>
      </c>
      <c r="AJ27" s="141">
        <f>T_surf-T_i</f>
        <v>5</v>
      </c>
      <c r="AK27" s="141">
        <f>T_surf-T_i</f>
        <v>5</v>
      </c>
      <c r="AL27" s="141">
        <f>T_surf-T_i</f>
        <v>5</v>
      </c>
      <c r="AM27" s="141">
        <f>T_surf-T_i</f>
        <v>5</v>
      </c>
      <c r="AN27" s="141">
        <f>T_surf-T_i</f>
        <v>5</v>
      </c>
      <c r="AO27" s="141">
        <f>T_surf-T_i</f>
        <v>5</v>
      </c>
      <c r="AP27" s="141">
        <f>T_surf-T_i</f>
        <v>5</v>
      </c>
      <c r="AQ27" s="69"/>
      <c r="AR27" s="69"/>
      <c r="AS27" s="69"/>
    </row>
    <row r="28">
      <c r="E28" s="139" t="s">
        <v>244</v>
      </c>
      <c r="F28" s="159">
        <f>F26-T_surf</f>
        <v>0.000003073844913</v>
      </c>
      <c r="G28" s="159">
        <f>G26-T_surf</f>
        <v>0.2151745116</v>
      </c>
      <c r="H28" s="168">
        <f>H26-T_surf</f>
        <v>0.8678195611</v>
      </c>
      <c r="I28" s="168">
        <f>I26-T_surf</f>
        <v>1.133290725</v>
      </c>
      <c r="J28" s="168">
        <f>J26-T_surf</f>
        <v>1.186254244</v>
      </c>
      <c r="K28" s="168">
        <f>K26-T_surf</f>
        <v>1.236643171</v>
      </c>
      <c r="L28" s="168">
        <f>L26-T_surf</f>
        <v>1.284609191</v>
      </c>
      <c r="M28" s="168">
        <f>M26-T_surf</f>
        <v>1.330298866</v>
      </c>
      <c r="N28" s="168">
        <f>N26-T_surf</f>
        <v>1.373852059</v>
      </c>
      <c r="O28" s="168">
        <f>O26-T_surf</f>
        <v>1.4154011</v>
      </c>
      <c r="P28" s="168">
        <f>P26-T_surf</f>
        <v>1.455070426</v>
      </c>
      <c r="Q28" s="168">
        <f>Q26-T_surf</f>
        <v>1.492976551</v>
      </c>
      <c r="R28" s="168">
        <f>R26-T_surf</f>
        <v>1.529228235</v>
      </c>
      <c r="S28" s="168">
        <f>S26-T_surf</f>
        <v>1.563926792</v>
      </c>
      <c r="T28" s="168">
        <f>T26-T_surf</f>
        <v>1.597166464</v>
      </c>
      <c r="U28" s="168">
        <f>U26-T_surf</f>
        <v>1.629034844</v>
      </c>
      <c r="V28" s="168">
        <f>V26-T_surf</f>
        <v>1.659613302</v>
      </c>
      <c r="W28" s="168">
        <f>W26-T_surf</f>
        <v>1.688977419</v>
      </c>
      <c r="X28" s="168">
        <f>X26-T_surf</f>
        <v>1.717197407</v>
      </c>
      <c r="Y28" s="168">
        <f>Y26-T_surf</f>
        <v>1.843265302</v>
      </c>
      <c r="Z28" s="168">
        <f>Z26-T_surf</f>
        <v>1.948807441</v>
      </c>
      <c r="AA28" s="168">
        <f>AA26-T_surf</f>
        <v>1.967893691</v>
      </c>
      <c r="AB28" s="168">
        <f>AB26-T_surf</f>
        <v>1.986381825</v>
      </c>
      <c r="AC28" s="168">
        <f>AC26-T_surf</f>
        <v>2.004300332</v>
      </c>
      <c r="AD28" s="168">
        <f>AD26-T_surf</f>
        <v>2.021675941</v>
      </c>
      <c r="AE28" s="168">
        <f>AE26-T_surf</f>
        <v>2.03853375</v>
      </c>
      <c r="AF28" s="168">
        <f>AF26-T_surf</f>
        <v>2.086229378</v>
      </c>
      <c r="AG28" s="168">
        <f>AG26-T_surf</f>
        <v>2.115834458</v>
      </c>
      <c r="AH28" s="168">
        <f>AH26-T_surf</f>
        <v>2.183201316</v>
      </c>
      <c r="AI28" s="168">
        <f>AI26-T_surf</f>
        <v>2.295163183</v>
      </c>
      <c r="AJ28" s="168">
        <f>AJ26-T_surf</f>
        <v>2.384756004</v>
      </c>
      <c r="AK28" s="168">
        <f>AK26-T_surf</f>
        <v>2.458349611</v>
      </c>
      <c r="AL28" s="168">
        <f>AL26-T_surf</f>
        <v>2.471539958</v>
      </c>
      <c r="AM28" s="168">
        <f>AM26-T_surf</f>
        <v>2.484285474</v>
      </c>
      <c r="AN28" s="168">
        <f>AN26-T_surf</f>
        <v>2.496609841</v>
      </c>
      <c r="AO28" s="168">
        <f>AO26-T_surf</f>
        <v>2.520081566</v>
      </c>
      <c r="AP28" s="159">
        <f>AP26-T_surf</f>
        <v>2.579468725</v>
      </c>
      <c r="AQ28" s="69"/>
      <c r="AR28" s="69"/>
      <c r="AS28" s="69"/>
    </row>
    <row r="29">
      <c r="E29" s="158" t="s">
        <v>232</v>
      </c>
      <c r="F29" s="141">
        <f t="shared" ref="F29:AP29" si="7">(F27-F28)/ln(F27/F28)</f>
        <v>0.3496007682</v>
      </c>
      <c r="G29" s="141">
        <f t="shared" si="7"/>
        <v>1.521047414</v>
      </c>
      <c r="H29" s="168">
        <f t="shared" si="7"/>
        <v>2.359615299</v>
      </c>
      <c r="I29" s="168">
        <f t="shared" si="7"/>
        <v>2.605050907</v>
      </c>
      <c r="J29" s="168">
        <f t="shared" si="7"/>
        <v>2.650943258</v>
      </c>
      <c r="K29" s="168">
        <f t="shared" si="7"/>
        <v>2.693812659</v>
      </c>
      <c r="L29" s="168">
        <f t="shared" si="7"/>
        <v>2.73394869</v>
      </c>
      <c r="M29" s="168">
        <f t="shared" si="7"/>
        <v>2.771605824</v>
      </c>
      <c r="N29" s="168">
        <f t="shared" si="7"/>
        <v>2.807008434</v>
      </c>
      <c r="O29" s="168">
        <f t="shared" si="7"/>
        <v>2.840354999</v>
      </c>
      <c r="P29" s="168">
        <f t="shared" si="7"/>
        <v>2.871821648</v>
      </c>
      <c r="Q29" s="168">
        <f t="shared" si="7"/>
        <v>2.901565162</v>
      </c>
      <c r="R29" s="168">
        <f t="shared" si="7"/>
        <v>2.929725509</v>
      </c>
      <c r="S29" s="168">
        <f t="shared" si="7"/>
        <v>2.956428006</v>
      </c>
      <c r="T29" s="168">
        <f t="shared" si="7"/>
        <v>2.981785157</v>
      </c>
      <c r="U29" s="168">
        <f t="shared" si="7"/>
        <v>3.005898235</v>
      </c>
      <c r="V29" s="168">
        <f t="shared" si="7"/>
        <v>3.02885863</v>
      </c>
      <c r="W29" s="168">
        <f t="shared" si="7"/>
        <v>3.050749015</v>
      </c>
      <c r="X29" s="168">
        <f t="shared" si="7"/>
        <v>3.071644352</v>
      </c>
      <c r="Y29" s="168">
        <f t="shared" si="7"/>
        <v>3.163380033</v>
      </c>
      <c r="Z29" s="168">
        <f t="shared" si="7"/>
        <v>3.238300611</v>
      </c>
      <c r="AA29" s="168">
        <f t="shared" si="7"/>
        <v>3.251678731</v>
      </c>
      <c r="AB29" s="168">
        <f t="shared" si="7"/>
        <v>3.264589687</v>
      </c>
      <c r="AC29" s="168">
        <f t="shared" si="7"/>
        <v>3.277058491</v>
      </c>
      <c r="AD29" s="168">
        <f t="shared" si="7"/>
        <v>3.289108387</v>
      </c>
      <c r="AE29" s="168">
        <f t="shared" si="7"/>
        <v>3.300761003</v>
      </c>
      <c r="AF29" s="168">
        <f t="shared" si="7"/>
        <v>3.333530056</v>
      </c>
      <c r="AG29" s="168">
        <f t="shared" si="7"/>
        <v>3.353725183</v>
      </c>
      <c r="AH29" s="168">
        <f t="shared" si="7"/>
        <v>3.399280246</v>
      </c>
      <c r="AI29" s="168">
        <f t="shared" si="7"/>
        <v>3.473823297</v>
      </c>
      <c r="AJ29" s="168">
        <f t="shared" si="7"/>
        <v>3.532485234</v>
      </c>
      <c r="AK29" s="168">
        <f t="shared" si="7"/>
        <v>3.580053107</v>
      </c>
      <c r="AL29" s="168">
        <f t="shared" si="7"/>
        <v>3.588522045</v>
      </c>
      <c r="AM29" s="168">
        <f t="shared" si="7"/>
        <v>3.596689325</v>
      </c>
      <c r="AN29" s="168">
        <f t="shared" si="7"/>
        <v>3.604571847</v>
      </c>
      <c r="AO29" s="168">
        <f t="shared" si="7"/>
        <v>3.619544014</v>
      </c>
      <c r="AP29" s="141">
        <f t="shared" si="7"/>
        <v>3.657195711</v>
      </c>
      <c r="AQ29" s="69"/>
      <c r="AR29" s="69"/>
      <c r="AS29" s="69"/>
    </row>
    <row r="30">
      <c r="B30" s="26"/>
      <c r="C30" s="28"/>
      <c r="E30" s="158" t="s">
        <v>233</v>
      </c>
      <c r="F30" s="141">
        <f t="shared" ref="F30:AP30" si="8">F25*F23*$C$25*(F29)</f>
        <v>2.761377481</v>
      </c>
      <c r="G30" s="141">
        <f t="shared" si="8"/>
        <v>12.01423583</v>
      </c>
      <c r="H30" s="168">
        <f t="shared" si="8"/>
        <v>18.63779815</v>
      </c>
      <c r="I30" s="168">
        <f t="shared" si="8"/>
        <v>31.89341714</v>
      </c>
      <c r="J30" s="168">
        <f t="shared" si="8"/>
        <v>32.67137164</v>
      </c>
      <c r="K30" s="168">
        <f t="shared" si="8"/>
        <v>33.41675548</v>
      </c>
      <c r="L30" s="168">
        <f t="shared" si="8"/>
        <v>34.13241472</v>
      </c>
      <c r="M30" s="168">
        <f t="shared" si="8"/>
        <v>34.82086206</v>
      </c>
      <c r="N30" s="168">
        <f t="shared" si="8"/>
        <v>35.48432321</v>
      </c>
      <c r="O30" s="168">
        <f t="shared" si="8"/>
        <v>36.1247761</v>
      </c>
      <c r="P30" s="168">
        <f t="shared" si="8"/>
        <v>36.74398399</v>
      </c>
      <c r="Q30" s="168">
        <f t="shared" si="8"/>
        <v>37.34352368</v>
      </c>
      <c r="R30" s="168">
        <f t="shared" si="8"/>
        <v>37.9248094</v>
      </c>
      <c r="S30" s="168">
        <f t="shared" si="8"/>
        <v>38.48911327</v>
      </c>
      <c r="T30" s="168">
        <f t="shared" si="8"/>
        <v>39.03758276</v>
      </c>
      <c r="U30" s="168">
        <f t="shared" si="8"/>
        <v>39.57125568</v>
      </c>
      <c r="V30" s="168">
        <f t="shared" si="8"/>
        <v>40.0910731</v>
      </c>
      <c r="W30" s="168">
        <f t="shared" si="8"/>
        <v>40.59789051</v>
      </c>
      <c r="X30" s="168">
        <f t="shared" si="8"/>
        <v>41.09248742</v>
      </c>
      <c r="Y30" s="168">
        <f t="shared" si="8"/>
        <v>43.40510296</v>
      </c>
      <c r="Z30" s="168">
        <f t="shared" si="8"/>
        <v>45.497532</v>
      </c>
      <c r="AA30" s="168">
        <f t="shared" si="8"/>
        <v>45.8940555</v>
      </c>
      <c r="AB30" s="168">
        <f t="shared" si="8"/>
        <v>46.2840099</v>
      </c>
      <c r="AC30" s="168">
        <f t="shared" si="8"/>
        <v>46.66767439</v>
      </c>
      <c r="AD30" s="168">
        <f t="shared" si="8"/>
        <v>47.04530997</v>
      </c>
      <c r="AE30" s="168">
        <f t="shared" si="8"/>
        <v>47.41716096</v>
      </c>
      <c r="AF30" s="168">
        <f t="shared" si="8"/>
        <v>48.50022774</v>
      </c>
      <c r="AG30" s="168">
        <f t="shared" si="8"/>
        <v>49.19719451</v>
      </c>
      <c r="AH30" s="168">
        <f t="shared" si="8"/>
        <v>50.86174519</v>
      </c>
      <c r="AI30" s="168">
        <f t="shared" si="8"/>
        <v>53.91239668</v>
      </c>
      <c r="AJ30" s="168">
        <f t="shared" si="8"/>
        <v>56.67009724</v>
      </c>
      <c r="AK30" s="168">
        <f t="shared" si="8"/>
        <v>59.1989957</v>
      </c>
      <c r="AL30" s="168">
        <f t="shared" si="8"/>
        <v>59.68140506</v>
      </c>
      <c r="AM30" s="168">
        <f t="shared" si="8"/>
        <v>60.15672014</v>
      </c>
      <c r="AN30" s="168">
        <f t="shared" si="8"/>
        <v>60.62520157</v>
      </c>
      <c r="AO30" s="168">
        <f t="shared" si="8"/>
        <v>61.54262779</v>
      </c>
      <c r="AP30" s="141">
        <f t="shared" si="8"/>
        <v>102.9544282</v>
      </c>
      <c r="AQ30" s="69"/>
      <c r="AR30" s="69"/>
      <c r="AS30" s="69"/>
    </row>
    <row r="31">
      <c r="B31" s="26"/>
      <c r="C31" s="28"/>
      <c r="E31" s="158" t="s">
        <v>234</v>
      </c>
      <c r="F31" s="142">
        <f>F30-'STEP 2'!$J$5*1000</f>
        <v>-47.74798028</v>
      </c>
      <c r="G31" s="142">
        <f>G30-'STEP 2'!$J$5*1000</f>
        <v>-38.49512193</v>
      </c>
      <c r="H31" s="142">
        <f>H30-'STEP 2'!$J$5*1000</f>
        <v>-31.87155961</v>
      </c>
      <c r="I31" s="142">
        <f>I30-'STEP 2'!$J$5*1000</f>
        <v>-18.61594062</v>
      </c>
      <c r="J31" s="142">
        <f>J30-'STEP 2'!$J$5*1000</f>
        <v>-17.83798612</v>
      </c>
      <c r="K31" s="142">
        <f>K30-'STEP 2'!$J$5*1000</f>
        <v>-17.09260228</v>
      </c>
      <c r="L31" s="142">
        <f>L30-'STEP 2'!$J$5*1000</f>
        <v>-16.37694304</v>
      </c>
      <c r="M31" s="142">
        <f>M30-'STEP 2'!$J$5*1000</f>
        <v>-15.6884957</v>
      </c>
      <c r="N31" s="142">
        <f>N30-'STEP 2'!$J$5*1000</f>
        <v>-15.02503455</v>
      </c>
      <c r="O31" s="142">
        <f>O30-'STEP 2'!$J$5*1000</f>
        <v>-14.38458167</v>
      </c>
      <c r="P31" s="142">
        <f>P30-'STEP 2'!$J$5*1000</f>
        <v>-13.76537377</v>
      </c>
      <c r="Q31" s="142">
        <f>Q30-'STEP 2'!$J$5*1000</f>
        <v>-13.16583408</v>
      </c>
      <c r="R31" s="142">
        <f>R30-'STEP 2'!$J$5*1000</f>
        <v>-12.58454836</v>
      </c>
      <c r="S31" s="142">
        <f>S30-'STEP 2'!$J$5*1000</f>
        <v>-12.02024449</v>
      </c>
      <c r="T31" s="142">
        <f>T30-'STEP 2'!$J$5*1000</f>
        <v>-11.471775</v>
      </c>
      <c r="U31" s="142">
        <f>U30-'STEP 2'!$J$5*1000</f>
        <v>-10.93810208</v>
      </c>
      <c r="V31" s="142">
        <f>V30-'STEP 2'!$J$5*1000</f>
        <v>-10.41828466</v>
      </c>
      <c r="W31" s="142">
        <f>W30-'STEP 2'!$J$5*1000</f>
        <v>-9.911467253</v>
      </c>
      <c r="X31" s="142">
        <f>X30-'STEP 2'!$J$5*1000</f>
        <v>-9.416870336</v>
      </c>
      <c r="Y31" s="142">
        <f>Y30-'STEP 2'!$J$5*1000</f>
        <v>-7.104254802</v>
      </c>
      <c r="Z31" s="142">
        <f>Z30-'STEP 2'!$J$5*1000</f>
        <v>-5.01182576</v>
      </c>
      <c r="AA31" s="142">
        <f>AA30-'STEP 2'!$J$5*1000</f>
        <v>-4.615302266</v>
      </c>
      <c r="AB31" s="142">
        <f>AB30-'STEP 2'!$J$5*1000</f>
        <v>-4.225347863</v>
      </c>
      <c r="AC31" s="142">
        <f>AC30-'STEP 2'!$J$5*1000</f>
        <v>-3.84168337</v>
      </c>
      <c r="AD31" s="142">
        <f>AD30-'STEP 2'!$J$5*1000</f>
        <v>-3.464047793</v>
      </c>
      <c r="AE31" s="142">
        <f>AE30-'STEP 2'!$J$5*1000</f>
        <v>-3.092196797</v>
      </c>
      <c r="AF31" s="142">
        <f>AF30-'STEP 2'!$J$5*1000</f>
        <v>-2.009130022</v>
      </c>
      <c r="AG31" s="142">
        <f>AG30-'STEP 2'!$J$5*1000</f>
        <v>-1.312163253</v>
      </c>
      <c r="AH31" s="142">
        <f>AH30-'STEP 2'!$J$5*1000</f>
        <v>0.3523874299</v>
      </c>
      <c r="AI31" s="142">
        <f>AI30-'STEP 2'!$J$5*1000</f>
        <v>3.403038922</v>
      </c>
      <c r="AJ31" s="142">
        <f>AJ30-'STEP 2'!$J$5*1000</f>
        <v>6.160739478</v>
      </c>
      <c r="AK31" s="142">
        <f>AK30-'STEP 2'!$J$5*1000</f>
        <v>8.68963794</v>
      </c>
      <c r="AL31" s="142">
        <f>AL30-'STEP 2'!$J$5*1000</f>
        <v>9.172047296</v>
      </c>
      <c r="AM31" s="142">
        <f>AM30-'STEP 2'!$J$5*1000</f>
        <v>9.647362379</v>
      </c>
      <c r="AN31" s="142">
        <f>AN30-'STEP 2'!$J$5*1000</f>
        <v>10.11584381</v>
      </c>
      <c r="AO31" s="142">
        <f>AO30-'STEP 2'!$J$5*1000</f>
        <v>11.03327003</v>
      </c>
      <c r="AP31" s="142">
        <f>AP30-'STEP 2'!$J$5*1000</f>
        <v>52.44507041</v>
      </c>
      <c r="AQ31" s="70"/>
      <c r="AR31" s="70"/>
      <c r="AS31" s="70"/>
    </row>
    <row r="32">
      <c r="B32" s="26"/>
      <c r="C32" s="26"/>
    </row>
    <row r="33">
      <c r="B33" s="26"/>
      <c r="C33" s="26"/>
    </row>
    <row r="34">
      <c r="B34" s="26"/>
      <c r="C34" s="169"/>
    </row>
    <row r="35">
      <c r="B35" s="26"/>
      <c r="C35" s="26"/>
    </row>
    <row r="37">
      <c r="B37" s="170" t="s">
        <v>236</v>
      </c>
      <c r="C37" s="82"/>
    </row>
    <row r="38">
      <c r="B38" s="150" t="s">
        <v>170</v>
      </c>
      <c r="C38" s="73">
        <v>6.0</v>
      </c>
    </row>
    <row r="39">
      <c r="B39" s="150" t="s">
        <v>171</v>
      </c>
      <c r="C39" s="150">
        <v>15.748</v>
      </c>
    </row>
    <row r="40">
      <c r="B40" s="150" t="s">
        <v>172</v>
      </c>
      <c r="C40" s="151">
        <v>0.15239999999999998</v>
      </c>
    </row>
    <row r="41">
      <c r="B41" s="150" t="s">
        <v>174</v>
      </c>
      <c r="C41" s="151">
        <v>0.39999919999999994</v>
      </c>
    </row>
    <row r="42">
      <c r="B42" s="150" t="s">
        <v>177</v>
      </c>
      <c r="C42" s="76">
        <v>0.06095987807999998</v>
      </c>
    </row>
    <row r="43">
      <c r="B43" s="171"/>
      <c r="C43" s="171"/>
    </row>
    <row r="44">
      <c r="B44" s="153" t="s">
        <v>241</v>
      </c>
      <c r="C44" s="129"/>
    </row>
    <row r="45">
      <c r="B45" s="157" t="s">
        <v>185</v>
      </c>
      <c r="C45" s="149">
        <v>3.0</v>
      </c>
    </row>
    <row r="46">
      <c r="B46" s="149" t="s">
        <v>215</v>
      </c>
      <c r="C46" s="160">
        <v>0.0169926</v>
      </c>
    </row>
    <row r="47">
      <c r="B47" s="149" t="s">
        <v>217</v>
      </c>
      <c r="C47" s="161">
        <v>0.0010921999999999998</v>
      </c>
    </row>
    <row r="48">
      <c r="B48" s="149" t="s">
        <v>218</v>
      </c>
      <c r="C48" s="160">
        <v>0.0062483999999999994</v>
      </c>
    </row>
    <row r="49">
      <c r="B49" s="149" t="s">
        <v>220</v>
      </c>
      <c r="C49" s="163">
        <v>217.96539792387543</v>
      </c>
    </row>
    <row r="50">
      <c r="B50" s="149" t="s">
        <v>221</v>
      </c>
      <c r="C50" s="164">
        <v>0.3677130044843049</v>
      </c>
    </row>
    <row r="51">
      <c r="B51" s="73" t="s">
        <v>224</v>
      </c>
      <c r="C51" s="172">
        <v>1.0617656183999999E-4</v>
      </c>
    </row>
    <row r="52">
      <c r="B52" s="73" t="s">
        <v>226</v>
      </c>
      <c r="C52" s="76">
        <v>0.0402336</v>
      </c>
    </row>
    <row r="53">
      <c r="B53" s="73" t="s">
        <v>242</v>
      </c>
      <c r="C53" s="76">
        <v>0.01055600909090909</v>
      </c>
    </row>
    <row r="54">
      <c r="B54" s="73" t="s">
        <v>187</v>
      </c>
      <c r="C54" s="173">
        <v>1.336476773407889</v>
      </c>
    </row>
    <row r="74">
      <c r="G74" s="174" t="s">
        <v>200</v>
      </c>
    </row>
  </sheetData>
  <mergeCells count="5">
    <mergeCell ref="B2:O2"/>
    <mergeCell ref="B6:C6"/>
    <mergeCell ref="B12:C12"/>
    <mergeCell ref="B37:C37"/>
    <mergeCell ref="B44:C44"/>
  </mergeCells>
  <conditionalFormatting sqref="Q11 AN31 AQ31:AS31">
    <cfRule type="cellIs" dxfId="5" priority="1" operator="greaterThan">
      <formula>0</formula>
    </cfRule>
  </conditionalFormatting>
  <conditionalFormatting sqref="F31:AP31">
    <cfRule type="cellIs" dxfId="5" priority="2" operator="greaterThan">
      <formula>0</formula>
    </cfRule>
  </conditionalFormatting>
  <drawing r:id="rId1"/>
  <tableParts count="1">
    <tablePart r:id="rId3"/>
  </tableParts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FF"/>
    <outlinePr summaryBelow="0" summaryRight="0"/>
  </sheetPr>
  <sheetViews>
    <sheetView workbookViewId="0"/>
  </sheetViews>
  <sheetFormatPr customHeight="1" defaultColWidth="12.63" defaultRowHeight="15.75"/>
  <cols>
    <col customWidth="1" min="2" max="2" width="21.75"/>
    <col customWidth="1" min="5" max="5" width="17.88"/>
    <col customWidth="1" min="6" max="6" width="15.38"/>
    <col customWidth="1" min="9" max="9" width="10.5"/>
    <col customWidth="1" min="10" max="10" width="15.75"/>
    <col customWidth="1" min="11" max="11" width="14.38"/>
    <col customWidth="1" min="12" max="12" width="19.63"/>
    <col customWidth="1" min="15" max="15" width="1.75"/>
    <col customWidth="1" min="16" max="16" width="16.0"/>
    <col customWidth="1" min="18" max="18" width="16.5"/>
    <col customWidth="1" min="21" max="21" width="2.63"/>
  </cols>
  <sheetData>
    <row r="1">
      <c r="F1" s="5" t="s">
        <v>245</v>
      </c>
      <c r="I1" s="5" t="s">
        <v>246</v>
      </c>
      <c r="O1" s="175"/>
      <c r="U1" s="175"/>
    </row>
    <row r="2">
      <c r="F2" s="176" t="s">
        <v>247</v>
      </c>
      <c r="G2" s="171"/>
      <c r="I2" s="177" t="s">
        <v>248</v>
      </c>
      <c r="J2" s="5"/>
      <c r="K2" s="5"/>
      <c r="L2" s="5"/>
      <c r="O2" s="175"/>
      <c r="U2" s="175"/>
    </row>
    <row r="3">
      <c r="A3" s="175"/>
      <c r="B3" s="175"/>
      <c r="C3" s="175"/>
      <c r="D3" s="175"/>
      <c r="E3" s="175"/>
      <c r="F3" s="178"/>
      <c r="G3" s="179"/>
      <c r="H3" s="175"/>
      <c r="I3" s="175"/>
      <c r="J3" s="180"/>
      <c r="K3" s="180"/>
      <c r="L3" s="180"/>
      <c r="M3" s="175"/>
      <c r="N3" s="175"/>
      <c r="O3" s="175"/>
      <c r="P3" s="175"/>
      <c r="Q3" s="175"/>
      <c r="R3" s="175"/>
      <c r="S3" s="175"/>
      <c r="T3" s="175"/>
      <c r="U3" s="175"/>
      <c r="V3" s="175"/>
      <c r="W3" s="175"/>
      <c r="X3" s="175"/>
      <c r="Y3" s="175"/>
      <c r="Z3" s="175"/>
      <c r="AA3" s="175"/>
      <c r="AB3" s="175"/>
      <c r="AC3" s="175"/>
      <c r="AD3" s="175"/>
      <c r="AE3" s="175"/>
      <c r="AF3" s="175"/>
      <c r="AG3" s="175"/>
    </row>
    <row r="4">
      <c r="A4" s="181"/>
      <c r="B4" s="181"/>
      <c r="C4" s="181"/>
      <c r="D4" s="181"/>
      <c r="E4" s="181" t="s">
        <v>249</v>
      </c>
      <c r="O4" s="175"/>
      <c r="P4" s="181" t="s">
        <v>250</v>
      </c>
      <c r="U4" s="175"/>
    </row>
    <row r="5">
      <c r="A5" s="181"/>
      <c r="B5" s="181"/>
      <c r="C5" s="181"/>
      <c r="D5" s="181"/>
      <c r="O5" s="175"/>
      <c r="U5" s="175"/>
    </row>
    <row r="6">
      <c r="B6" s="182" t="s">
        <v>170</v>
      </c>
      <c r="C6" s="183">
        <v>14.0</v>
      </c>
      <c r="F6" s="184"/>
      <c r="G6" s="171"/>
      <c r="J6" s="5"/>
      <c r="K6" s="5"/>
      <c r="L6" s="5"/>
      <c r="O6" s="175"/>
      <c r="U6" s="175"/>
    </row>
    <row r="7">
      <c r="B7" s="182" t="s">
        <v>171</v>
      </c>
      <c r="C7" s="185">
        <f>F13</f>
        <v>7.874</v>
      </c>
      <c r="F7" s="184"/>
      <c r="G7" s="171"/>
      <c r="O7" s="175"/>
      <c r="U7" s="175"/>
    </row>
    <row r="8">
      <c r="B8" s="26" t="s">
        <v>172</v>
      </c>
      <c r="C8" s="186">
        <f>C6*m_per_in</f>
        <v>0.3556</v>
      </c>
      <c r="E8" s="149" t="s">
        <v>251</v>
      </c>
      <c r="F8" s="149" t="s">
        <v>252</v>
      </c>
      <c r="H8" s="187" t="s">
        <v>253</v>
      </c>
      <c r="I8" s="187" t="s">
        <v>254</v>
      </c>
      <c r="J8" s="187" t="s">
        <v>255</v>
      </c>
      <c r="K8" s="187" t="s">
        <v>256</v>
      </c>
      <c r="O8" s="175"/>
      <c r="S8" s="175"/>
    </row>
    <row r="9">
      <c r="B9" s="26" t="s">
        <v>174</v>
      </c>
      <c r="C9" s="186">
        <f>C7*m_per_in</f>
        <v>0.1999996</v>
      </c>
      <c r="E9" s="149" t="s">
        <v>257</v>
      </c>
      <c r="F9" s="188" t="s">
        <v>258</v>
      </c>
      <c r="G9" s="5" t="s">
        <v>259</v>
      </c>
      <c r="H9" s="73">
        <v>1.0</v>
      </c>
      <c r="I9" s="73">
        <v>200.0</v>
      </c>
      <c r="J9" s="173">
        <f t="shared" ref="J9:J13" si="1">$C$12*H9+(H9+1)*$F$20</f>
        <v>2.574</v>
      </c>
      <c r="K9" s="83">
        <f t="shared" ref="K9:K13" si="2">(H9+1)*$F$17</f>
        <v>50</v>
      </c>
      <c r="O9" s="175"/>
      <c r="S9" s="175"/>
    </row>
    <row r="10">
      <c r="B10" s="26" t="s">
        <v>177</v>
      </c>
      <c r="C10" s="189">
        <f>C8*C9</f>
        <v>0.07111985776</v>
      </c>
      <c r="E10" s="149" t="s">
        <v>213</v>
      </c>
      <c r="F10" s="149">
        <v>0.246</v>
      </c>
      <c r="H10" s="73">
        <v>2.0</v>
      </c>
      <c r="I10" s="73">
        <v>90.0</v>
      </c>
      <c r="J10" s="173">
        <f t="shared" si="1"/>
        <v>4.361</v>
      </c>
      <c r="K10" s="83">
        <f t="shared" si="2"/>
        <v>75</v>
      </c>
      <c r="O10" s="175"/>
      <c r="S10" s="175"/>
    </row>
    <row r="11">
      <c r="B11" s="58" t="s">
        <v>179</v>
      </c>
      <c r="C11" s="190">
        <f>'STEP 2'!J9/C10</f>
        <v>14.06077053</v>
      </c>
      <c r="E11" s="149" t="s">
        <v>211</v>
      </c>
      <c r="F11" s="149">
        <v>0.043</v>
      </c>
      <c r="H11" s="73">
        <v>3.0</v>
      </c>
      <c r="I11" s="73">
        <v>70.0</v>
      </c>
      <c r="J11" s="173">
        <f t="shared" si="1"/>
        <v>6.148</v>
      </c>
      <c r="K11" s="83">
        <f t="shared" si="2"/>
        <v>100</v>
      </c>
      <c r="O11" s="175"/>
      <c r="S11" s="175"/>
    </row>
    <row r="12">
      <c r="B12" s="191" t="s">
        <v>260</v>
      </c>
      <c r="C12" s="192">
        <v>1.0</v>
      </c>
      <c r="E12" s="149" t="s">
        <v>261</v>
      </c>
      <c r="F12" s="149">
        <v>0.669</v>
      </c>
      <c r="H12" s="73">
        <v>4.0</v>
      </c>
      <c r="I12" s="73">
        <v>46.0</v>
      </c>
      <c r="J12" s="173">
        <f t="shared" si="1"/>
        <v>7.935</v>
      </c>
      <c r="K12" s="83">
        <f t="shared" si="2"/>
        <v>125</v>
      </c>
      <c r="O12" s="175"/>
      <c r="S12" s="175"/>
    </row>
    <row r="13">
      <c r="E13" s="149" t="s">
        <v>97</v>
      </c>
      <c r="F13" s="149">
        <v>7.874</v>
      </c>
      <c r="H13" s="73">
        <v>5.0</v>
      </c>
      <c r="I13" s="73">
        <v>48.0</v>
      </c>
      <c r="J13" s="173">
        <f t="shared" si="1"/>
        <v>9.722</v>
      </c>
      <c r="K13" s="83">
        <f t="shared" si="2"/>
        <v>150</v>
      </c>
      <c r="O13" s="175"/>
      <c r="S13" s="175"/>
    </row>
    <row r="14">
      <c r="E14" s="149" t="s">
        <v>119</v>
      </c>
      <c r="F14" s="149">
        <v>14.0</v>
      </c>
      <c r="O14" s="175"/>
      <c r="U14" s="175"/>
    </row>
    <row r="15">
      <c r="B15" s="26"/>
      <c r="C15" s="26"/>
      <c r="E15" s="149" t="s">
        <v>237</v>
      </c>
      <c r="F15" s="149" t="s">
        <v>238</v>
      </c>
      <c r="O15" s="175"/>
      <c r="U15" s="175"/>
    </row>
    <row r="16">
      <c r="B16" s="193" t="s">
        <v>209</v>
      </c>
      <c r="C16" s="194"/>
      <c r="E16" s="149" t="s">
        <v>239</v>
      </c>
      <c r="F16" s="149" t="s">
        <v>240</v>
      </c>
      <c r="O16" s="175"/>
      <c r="U16" s="175"/>
    </row>
    <row r="17">
      <c r="B17" s="194" t="s">
        <v>185</v>
      </c>
      <c r="C17" s="195">
        <v>1.0</v>
      </c>
      <c r="E17" s="149" t="s">
        <v>262</v>
      </c>
      <c r="F17" s="196">
        <v>25.0</v>
      </c>
      <c r="O17" s="175"/>
      <c r="U17" s="175"/>
    </row>
    <row r="18">
      <c r="B18" s="197" t="s">
        <v>210</v>
      </c>
      <c r="C18" s="198">
        <f>F12</f>
        <v>0.669</v>
      </c>
      <c r="E18" s="149" t="s">
        <v>263</v>
      </c>
      <c r="F18" s="149" t="s">
        <v>264</v>
      </c>
      <c r="O18" s="175"/>
      <c r="U18" s="175"/>
    </row>
    <row r="19">
      <c r="B19" s="197" t="s">
        <v>211</v>
      </c>
      <c r="C19" s="198">
        <f>F11</f>
        <v>0.043</v>
      </c>
      <c r="E19" s="149" t="s">
        <v>265</v>
      </c>
      <c r="F19" s="149">
        <v>0.118</v>
      </c>
      <c r="O19" s="175"/>
      <c r="U19" s="175"/>
    </row>
    <row r="20">
      <c r="B20" s="197" t="s">
        <v>213</v>
      </c>
      <c r="C20" s="198">
        <f>F10</f>
        <v>0.246</v>
      </c>
      <c r="E20" s="149" t="s">
        <v>266</v>
      </c>
      <c r="F20" s="149">
        <v>0.787</v>
      </c>
      <c r="O20" s="175"/>
      <c r="U20" s="175"/>
    </row>
    <row r="21">
      <c r="O21" s="175"/>
      <c r="U21" s="175"/>
    </row>
    <row r="22">
      <c r="A22" s="175"/>
      <c r="B22" s="175"/>
      <c r="C22" s="175"/>
      <c r="D22" s="175"/>
      <c r="E22" s="175"/>
      <c r="F22" s="175"/>
      <c r="G22" s="175"/>
      <c r="H22" s="175"/>
      <c r="I22" s="175"/>
      <c r="J22" s="175"/>
      <c r="K22" s="175"/>
      <c r="L22" s="175"/>
      <c r="M22" s="175"/>
      <c r="N22" s="175"/>
      <c r="O22" s="175"/>
      <c r="P22" s="175"/>
      <c r="Q22" s="175"/>
      <c r="R22" s="175"/>
      <c r="S22" s="175"/>
      <c r="T22" s="175"/>
      <c r="U22" s="175"/>
      <c r="V22" s="175"/>
      <c r="W22" s="175"/>
      <c r="X22" s="175"/>
      <c r="Y22" s="175"/>
      <c r="Z22" s="175"/>
      <c r="AA22" s="175"/>
      <c r="AB22" s="175"/>
      <c r="AC22" s="175"/>
      <c r="AD22" s="175"/>
      <c r="AE22" s="175"/>
      <c r="AF22" s="175"/>
      <c r="AG22" s="175"/>
    </row>
    <row r="25">
      <c r="B25" s="31" t="s">
        <v>170</v>
      </c>
      <c r="C25" s="5">
        <v>6.0</v>
      </c>
      <c r="E25" s="73" t="s">
        <v>251</v>
      </c>
      <c r="F25" s="73" t="s">
        <v>252</v>
      </c>
    </row>
    <row r="26">
      <c r="B26" s="31" t="s">
        <v>171</v>
      </c>
      <c r="C26" s="31">
        <f>2*F30</f>
        <v>15.748</v>
      </c>
      <c r="E26" s="73" t="s">
        <v>257</v>
      </c>
      <c r="F26" s="199" t="s">
        <v>258</v>
      </c>
      <c r="G26" s="5" t="s">
        <v>259</v>
      </c>
      <c r="H26" s="187" t="s">
        <v>253</v>
      </c>
      <c r="I26" s="187" t="s">
        <v>254</v>
      </c>
      <c r="J26" s="187" t="s">
        <v>255</v>
      </c>
      <c r="K26" s="187" t="s">
        <v>256</v>
      </c>
    </row>
    <row r="27">
      <c r="B27" s="31" t="s">
        <v>172</v>
      </c>
      <c r="C27" s="54">
        <f>C25*m_per_in</f>
        <v>0.1524</v>
      </c>
      <c r="E27" s="73" t="s">
        <v>213</v>
      </c>
      <c r="F27" s="73">
        <v>0.246</v>
      </c>
      <c r="H27" s="73">
        <v>1.0</v>
      </c>
      <c r="I27" s="73">
        <v>102.0</v>
      </c>
      <c r="J27" s="173">
        <f t="shared" ref="J27:J31" si="3">$C$12*H27+(H27+1)*$F$20</f>
        <v>2.574</v>
      </c>
      <c r="K27" s="83">
        <f t="shared" ref="K27:K31" si="4">(H27+1)*$F$34*2</f>
        <v>39.6</v>
      </c>
    </row>
    <row r="28">
      <c r="B28" s="31" t="s">
        <v>174</v>
      </c>
      <c r="C28" s="54">
        <v>0.39999919999999994</v>
      </c>
      <c r="E28" s="73" t="s">
        <v>211</v>
      </c>
      <c r="F28" s="73">
        <v>0.043</v>
      </c>
      <c r="H28" s="73">
        <v>2.0</v>
      </c>
      <c r="I28" s="73">
        <v>100.0</v>
      </c>
      <c r="J28" s="173">
        <f t="shared" si="3"/>
        <v>4.361</v>
      </c>
      <c r="K28" s="83">
        <f t="shared" si="4"/>
        <v>59.4</v>
      </c>
    </row>
    <row r="29">
      <c r="B29" s="31" t="s">
        <v>177</v>
      </c>
      <c r="C29" s="54">
        <v>0.39999919999999994</v>
      </c>
      <c r="E29" s="73" t="s">
        <v>261</v>
      </c>
      <c r="F29" s="73">
        <v>0.669</v>
      </c>
      <c r="H29" s="73">
        <v>3.0</v>
      </c>
      <c r="I29" s="73">
        <v>60.0</v>
      </c>
      <c r="J29" s="173">
        <f t="shared" si="3"/>
        <v>6.148</v>
      </c>
      <c r="K29" s="83">
        <f t="shared" si="4"/>
        <v>79.2</v>
      </c>
    </row>
    <row r="30">
      <c r="B30" s="5" t="s">
        <v>267</v>
      </c>
      <c r="C30" s="100">
        <v>1.0</v>
      </c>
      <c r="E30" s="73" t="s">
        <v>97</v>
      </c>
      <c r="F30" s="73">
        <v>7.874</v>
      </c>
      <c r="H30" s="73">
        <v>4.0</v>
      </c>
      <c r="I30" s="73">
        <v>45.0</v>
      </c>
      <c r="J30" s="173">
        <f t="shared" si="3"/>
        <v>7.935</v>
      </c>
      <c r="K30" s="83">
        <f t="shared" si="4"/>
        <v>99</v>
      </c>
    </row>
    <row r="31">
      <c r="E31" s="73" t="s">
        <v>119</v>
      </c>
      <c r="F31" s="73">
        <v>6.0</v>
      </c>
      <c r="H31" s="73">
        <v>5.0</v>
      </c>
      <c r="I31" s="73">
        <v>34.0</v>
      </c>
      <c r="J31" s="173">
        <f t="shared" si="3"/>
        <v>9.722</v>
      </c>
      <c r="K31" s="83">
        <f t="shared" si="4"/>
        <v>118.8</v>
      </c>
    </row>
    <row r="32">
      <c r="E32" s="73" t="s">
        <v>237</v>
      </c>
      <c r="F32" s="73" t="s">
        <v>238</v>
      </c>
    </row>
    <row r="33">
      <c r="E33" s="73" t="s">
        <v>239</v>
      </c>
      <c r="F33" s="73" t="s">
        <v>240</v>
      </c>
    </row>
    <row r="34">
      <c r="E34" s="73" t="s">
        <v>262</v>
      </c>
      <c r="F34" s="200">
        <v>9.9</v>
      </c>
    </row>
    <row r="35">
      <c r="B35" s="31" t="s">
        <v>209</v>
      </c>
      <c r="E35" s="73" t="s">
        <v>263</v>
      </c>
      <c r="F35" s="73" t="s">
        <v>264</v>
      </c>
    </row>
    <row r="36">
      <c r="B36" s="31" t="s">
        <v>185</v>
      </c>
      <c r="C36" s="31">
        <v>1.0</v>
      </c>
      <c r="E36" s="73" t="s">
        <v>265</v>
      </c>
      <c r="F36" s="73">
        <v>0.118</v>
      </c>
    </row>
    <row r="37">
      <c r="B37" s="31" t="s">
        <v>210</v>
      </c>
      <c r="C37" s="31">
        <v>0.669</v>
      </c>
      <c r="E37" s="73" t="s">
        <v>266</v>
      </c>
      <c r="F37" s="73">
        <v>0.787</v>
      </c>
    </row>
    <row r="38">
      <c r="B38" s="31" t="s">
        <v>211</v>
      </c>
      <c r="C38" s="31">
        <v>0.043</v>
      </c>
    </row>
    <row r="39">
      <c r="B39" s="31" t="s">
        <v>213</v>
      </c>
      <c r="C39" s="31">
        <v>0.246</v>
      </c>
    </row>
    <row r="42">
      <c r="A42" s="175"/>
      <c r="B42" s="175"/>
      <c r="C42" s="175"/>
      <c r="D42" s="175"/>
      <c r="E42" s="175"/>
      <c r="F42" s="175"/>
      <c r="G42" s="175"/>
      <c r="H42" s="175"/>
      <c r="I42" s="175"/>
      <c r="J42" s="175"/>
      <c r="K42" s="175"/>
      <c r="L42" s="175"/>
      <c r="M42" s="175"/>
      <c r="N42" s="175"/>
      <c r="O42" s="175"/>
      <c r="P42" s="175"/>
      <c r="Q42" s="175"/>
      <c r="R42" s="175"/>
      <c r="S42" s="175"/>
      <c r="T42" s="175"/>
      <c r="U42" s="175"/>
      <c r="V42" s="175"/>
      <c r="W42" s="175"/>
      <c r="X42" s="175"/>
      <c r="Y42" s="175"/>
      <c r="Z42" s="175"/>
      <c r="AA42" s="175"/>
      <c r="AB42" s="175"/>
      <c r="AC42" s="175"/>
      <c r="AD42" s="175"/>
      <c r="AE42" s="175"/>
      <c r="AF42" s="175"/>
      <c r="AG42" s="175"/>
    </row>
    <row r="43">
      <c r="O43" s="175"/>
      <c r="U43" s="175"/>
    </row>
    <row r="44">
      <c r="B44" s="31" t="s">
        <v>170</v>
      </c>
      <c r="C44" s="5">
        <v>9.0</v>
      </c>
      <c r="E44" s="73" t="s">
        <v>268</v>
      </c>
      <c r="F44" s="73" t="s">
        <v>252</v>
      </c>
      <c r="O44" s="175"/>
      <c r="U44" s="175"/>
    </row>
    <row r="45">
      <c r="B45" s="31" t="s">
        <v>171</v>
      </c>
      <c r="C45" s="5">
        <v>11.81</v>
      </c>
      <c r="E45" s="73" t="s">
        <v>257</v>
      </c>
      <c r="F45" s="199" t="s">
        <v>269</v>
      </c>
      <c r="G45" s="5" t="s">
        <v>259</v>
      </c>
      <c r="O45" s="175"/>
      <c r="U45" s="175"/>
    </row>
    <row r="46">
      <c r="B46" s="31" t="s">
        <v>172</v>
      </c>
      <c r="C46" s="54">
        <f>C44*m_per_in</f>
        <v>0.2286</v>
      </c>
      <c r="E46" s="73" t="s">
        <v>213</v>
      </c>
      <c r="F46" s="73">
        <v>0.26</v>
      </c>
      <c r="O46" s="175"/>
      <c r="U46" s="175"/>
    </row>
    <row r="47">
      <c r="B47" s="31" t="s">
        <v>174</v>
      </c>
      <c r="C47" s="54">
        <f>C45*m_per_in</f>
        <v>0.299974</v>
      </c>
      <c r="E47" s="73" t="s">
        <v>211</v>
      </c>
      <c r="F47" s="73">
        <v>0.043</v>
      </c>
      <c r="H47" s="73" t="s">
        <v>253</v>
      </c>
      <c r="I47" s="73" t="s">
        <v>254</v>
      </c>
      <c r="J47" s="73" t="s">
        <v>270</v>
      </c>
      <c r="K47" s="73"/>
      <c r="L47" s="73" t="s">
        <v>255</v>
      </c>
      <c r="M47" s="73" t="s">
        <v>256</v>
      </c>
      <c r="O47" s="175"/>
      <c r="U47" s="175"/>
    </row>
    <row r="48">
      <c r="B48" s="31" t="s">
        <v>177</v>
      </c>
      <c r="C48" s="41">
        <f>C46*C47</f>
        <v>0.0685740564</v>
      </c>
      <c r="E48" s="73" t="s">
        <v>261</v>
      </c>
      <c r="F48" s="73">
        <v>0.669</v>
      </c>
      <c r="H48" s="73">
        <v>1.0</v>
      </c>
      <c r="I48" s="73">
        <v>200.0</v>
      </c>
      <c r="J48" s="151"/>
      <c r="K48" s="173"/>
      <c r="L48" s="173">
        <f t="shared" ref="L48:L52" si="5">1*H48+(H48+1)*$F$56</f>
        <v>2.574</v>
      </c>
      <c r="M48" s="83">
        <f t="shared" ref="M48:M52" si="6">(H48+1)*$F$53</f>
        <v>72</v>
      </c>
      <c r="O48" s="175"/>
      <c r="U48" s="175"/>
    </row>
    <row r="49">
      <c r="B49" s="5" t="s">
        <v>179</v>
      </c>
      <c r="C49" s="190">
        <f>'STEP 2'!J9/C48</f>
        <v>14.58277448</v>
      </c>
      <c r="E49" s="73" t="s">
        <v>97</v>
      </c>
      <c r="F49" s="73">
        <v>11.81</v>
      </c>
      <c r="H49" s="73">
        <v>2.0</v>
      </c>
      <c r="I49" s="73">
        <v>80.0</v>
      </c>
      <c r="J49" s="151"/>
      <c r="K49" s="173"/>
      <c r="L49" s="173">
        <f t="shared" si="5"/>
        <v>4.361</v>
      </c>
      <c r="M49" s="83">
        <f t="shared" si="6"/>
        <v>108</v>
      </c>
      <c r="O49" s="175"/>
      <c r="U49" s="175"/>
    </row>
    <row r="50">
      <c r="B50" s="5" t="s">
        <v>180</v>
      </c>
      <c r="C50" s="192">
        <f>C49/m_per_in</f>
        <v>574.1249797</v>
      </c>
      <c r="E50" s="73" t="s">
        <v>119</v>
      </c>
      <c r="F50" s="73">
        <v>14.0</v>
      </c>
      <c r="H50" s="201">
        <v>3.0</v>
      </c>
      <c r="I50" s="201">
        <v>45.0</v>
      </c>
      <c r="J50" s="202"/>
      <c r="K50" s="203"/>
      <c r="L50" s="203">
        <f t="shared" si="5"/>
        <v>6.148</v>
      </c>
      <c r="M50" s="204">
        <f t="shared" si="6"/>
        <v>144</v>
      </c>
      <c r="O50" s="175"/>
      <c r="U50" s="175"/>
    </row>
    <row r="51">
      <c r="E51" s="73" t="s">
        <v>237</v>
      </c>
      <c r="F51" s="73" t="s">
        <v>238</v>
      </c>
      <c r="H51" s="73">
        <v>4.0</v>
      </c>
      <c r="I51" s="73">
        <v>40.0</v>
      </c>
      <c r="J51" s="151"/>
      <c r="K51" s="173"/>
      <c r="L51" s="173">
        <f t="shared" si="5"/>
        <v>7.935</v>
      </c>
      <c r="M51" s="83">
        <f t="shared" si="6"/>
        <v>180</v>
      </c>
      <c r="O51" s="175"/>
      <c r="U51" s="175"/>
    </row>
    <row r="52">
      <c r="B52" s="31" t="s">
        <v>209</v>
      </c>
      <c r="E52" s="73" t="s">
        <v>239</v>
      </c>
      <c r="F52" s="73" t="s">
        <v>240</v>
      </c>
      <c r="H52" s="73">
        <v>5.0</v>
      </c>
      <c r="I52" s="73">
        <v>40.0</v>
      </c>
      <c r="J52" s="151"/>
      <c r="K52" s="173"/>
      <c r="L52" s="173">
        <f t="shared" si="5"/>
        <v>9.722</v>
      </c>
      <c r="M52" s="83">
        <f t="shared" si="6"/>
        <v>216</v>
      </c>
      <c r="O52" s="175"/>
      <c r="U52" s="175"/>
    </row>
    <row r="53">
      <c r="B53" s="31" t="s">
        <v>185</v>
      </c>
      <c r="C53" s="31">
        <v>1.0</v>
      </c>
      <c r="E53" s="73" t="s">
        <v>262</v>
      </c>
      <c r="F53" s="200">
        <v>36.0</v>
      </c>
      <c r="O53" s="175"/>
      <c r="U53" s="175"/>
    </row>
    <row r="54">
      <c r="B54" s="31" t="s">
        <v>210</v>
      </c>
      <c r="C54" s="31">
        <f>F48</f>
        <v>0.669</v>
      </c>
      <c r="E54" s="73" t="s">
        <v>263</v>
      </c>
      <c r="F54" s="73" t="s">
        <v>264</v>
      </c>
      <c r="O54" s="175"/>
      <c r="U54" s="175"/>
    </row>
    <row r="55">
      <c r="B55" s="31" t="s">
        <v>211</v>
      </c>
      <c r="C55" s="31">
        <f>F47</f>
        <v>0.043</v>
      </c>
      <c r="E55" s="73" t="s">
        <v>265</v>
      </c>
      <c r="F55" s="73">
        <v>0.118</v>
      </c>
      <c r="O55" s="175"/>
      <c r="U55" s="175"/>
    </row>
    <row r="56">
      <c r="B56" s="31" t="s">
        <v>213</v>
      </c>
      <c r="C56" s="31">
        <f>F46</f>
        <v>0.26</v>
      </c>
      <c r="E56" s="73" t="s">
        <v>266</v>
      </c>
      <c r="F56" s="73">
        <v>0.787</v>
      </c>
      <c r="O56" s="175"/>
      <c r="U56" s="175"/>
    </row>
    <row r="57">
      <c r="O57" s="175"/>
      <c r="U57" s="175"/>
    </row>
    <row r="58">
      <c r="A58" s="175"/>
      <c r="B58" s="175"/>
      <c r="C58" s="175"/>
      <c r="D58" s="175"/>
      <c r="E58" s="175"/>
      <c r="F58" s="175"/>
      <c r="G58" s="175"/>
      <c r="H58" s="175"/>
      <c r="I58" s="175"/>
      <c r="J58" s="175"/>
      <c r="K58" s="175"/>
      <c r="L58" s="175"/>
      <c r="M58" s="175"/>
      <c r="N58" s="175"/>
      <c r="O58" s="175"/>
      <c r="P58" s="175"/>
      <c r="Q58" s="175"/>
      <c r="R58" s="175"/>
      <c r="S58" s="175"/>
      <c r="T58" s="175"/>
      <c r="U58" s="175"/>
      <c r="V58" s="175"/>
      <c r="W58" s="175"/>
      <c r="X58" s="175"/>
      <c r="Y58" s="175"/>
      <c r="Z58" s="175"/>
      <c r="AA58" s="175"/>
      <c r="AB58" s="175"/>
      <c r="AC58" s="175"/>
      <c r="AD58" s="175"/>
      <c r="AE58" s="175"/>
      <c r="AF58" s="175"/>
      <c r="AG58" s="175"/>
    </row>
    <row r="59">
      <c r="O59" s="175"/>
      <c r="U59" s="175"/>
    </row>
    <row r="60">
      <c r="E60" s="184" t="s">
        <v>271</v>
      </c>
      <c r="F60" s="5" t="s">
        <v>272</v>
      </c>
      <c r="O60" s="175"/>
      <c r="U60" s="175"/>
    </row>
    <row r="61">
      <c r="B61" s="205" t="s">
        <v>170</v>
      </c>
      <c r="C61" s="206">
        <v>14.0</v>
      </c>
      <c r="E61" s="5" t="s">
        <v>257</v>
      </c>
      <c r="F61" s="176" t="s">
        <v>273</v>
      </c>
      <c r="G61" s="5" t="s">
        <v>259</v>
      </c>
      <c r="H61" s="5"/>
      <c r="I61" s="5" t="s">
        <v>259</v>
      </c>
      <c r="O61" s="175"/>
      <c r="U61" s="175"/>
    </row>
    <row r="62">
      <c r="B62" s="205" t="s">
        <v>171</v>
      </c>
      <c r="C62" s="206">
        <f>F65</f>
        <v>12</v>
      </c>
      <c r="E62" s="5" t="s">
        <v>213</v>
      </c>
      <c r="F62" s="5">
        <v>0.4</v>
      </c>
      <c r="H62" s="73" t="s">
        <v>253</v>
      </c>
      <c r="I62" s="73" t="s">
        <v>254</v>
      </c>
      <c r="J62" s="73" t="s">
        <v>270</v>
      </c>
      <c r="K62" s="73"/>
      <c r="L62" s="73" t="s">
        <v>255</v>
      </c>
      <c r="M62" s="73" t="s">
        <v>256</v>
      </c>
      <c r="O62" s="175"/>
      <c r="U62" s="175"/>
    </row>
    <row r="63">
      <c r="B63" s="31" t="s">
        <v>172</v>
      </c>
      <c r="C63" s="54">
        <f>C61*m_per_in</f>
        <v>0.3556</v>
      </c>
      <c r="E63" s="5" t="s">
        <v>211</v>
      </c>
      <c r="F63" s="5">
        <v>0.1</v>
      </c>
      <c r="H63" s="73">
        <v>1.0</v>
      </c>
      <c r="I63" s="73">
        <v>200.0</v>
      </c>
      <c r="J63" s="151">
        <f t="shared" ref="J63:J67" si="7">$C$67/H63</f>
        <v>363.236572</v>
      </c>
      <c r="K63" s="151"/>
      <c r="L63" s="151">
        <f t="shared" ref="L63:L67" si="8">$C$67+(H63+1)*$F$73</f>
        <v>365.836572</v>
      </c>
      <c r="M63" s="83">
        <f t="shared" ref="M63:M67" si="9">(H63+1)*$F$70</f>
        <v>178</v>
      </c>
      <c r="O63" s="175"/>
      <c r="U63" s="175"/>
    </row>
    <row r="64">
      <c r="B64" s="31" t="s">
        <v>174</v>
      </c>
      <c r="C64" s="54">
        <f>C62*m_per_in</f>
        <v>0.3048</v>
      </c>
      <c r="E64" s="5" t="s">
        <v>261</v>
      </c>
      <c r="F64" s="5">
        <v>1.0</v>
      </c>
      <c r="H64" s="73">
        <v>2.0</v>
      </c>
      <c r="I64" s="73">
        <v>100.0</v>
      </c>
      <c r="J64" s="151">
        <f t="shared" si="7"/>
        <v>181.618286</v>
      </c>
      <c r="K64" s="151"/>
      <c r="L64" s="151">
        <f t="shared" si="8"/>
        <v>367.136572</v>
      </c>
      <c r="M64" s="83">
        <f t="shared" si="9"/>
        <v>267</v>
      </c>
      <c r="O64" s="175"/>
      <c r="U64" s="175"/>
    </row>
    <row r="65">
      <c r="B65" s="31" t="s">
        <v>177</v>
      </c>
      <c r="C65" s="41">
        <f>C63*C64</f>
        <v>0.10838688</v>
      </c>
      <c r="E65" s="5" t="s">
        <v>97</v>
      </c>
      <c r="F65" s="5">
        <v>12.0</v>
      </c>
      <c r="H65" s="73">
        <v>3.0</v>
      </c>
      <c r="I65" s="73">
        <v>60.0</v>
      </c>
      <c r="J65" s="151">
        <f t="shared" si="7"/>
        <v>121.0788573</v>
      </c>
      <c r="K65" s="151"/>
      <c r="L65" s="151">
        <f t="shared" si="8"/>
        <v>368.436572</v>
      </c>
      <c r="M65" s="83">
        <f t="shared" si="9"/>
        <v>356</v>
      </c>
      <c r="O65" s="175"/>
      <c r="U65" s="175"/>
    </row>
    <row r="66">
      <c r="B66" s="5" t="s">
        <v>179</v>
      </c>
      <c r="C66" s="190">
        <f>'STEP 2'!J9/C65</f>
        <v>9.226208929</v>
      </c>
      <c r="E66" s="5" t="s">
        <v>274</v>
      </c>
      <c r="F66" s="207">
        <v>45669.0</v>
      </c>
      <c r="H66" s="73">
        <v>4.0</v>
      </c>
      <c r="I66" s="73">
        <v>40.0</v>
      </c>
      <c r="J66" s="151">
        <f t="shared" si="7"/>
        <v>90.809143</v>
      </c>
      <c r="K66" s="151"/>
      <c r="L66" s="151">
        <f t="shared" si="8"/>
        <v>369.736572</v>
      </c>
      <c r="M66" s="83">
        <f t="shared" si="9"/>
        <v>445</v>
      </c>
      <c r="O66" s="175"/>
      <c r="U66" s="175"/>
    </row>
    <row r="67">
      <c r="B67" s="206" t="s">
        <v>180</v>
      </c>
      <c r="C67" s="192">
        <f>C66/m_per_in</f>
        <v>363.236572</v>
      </c>
      <c r="E67" s="5" t="s">
        <v>119</v>
      </c>
      <c r="F67" s="5">
        <v>14.0</v>
      </c>
      <c r="H67" s="73">
        <v>5.0</v>
      </c>
      <c r="I67" s="73">
        <v>60.0</v>
      </c>
      <c r="J67" s="151">
        <f t="shared" si="7"/>
        <v>72.6473144</v>
      </c>
      <c r="K67" s="151"/>
      <c r="L67" s="151">
        <f t="shared" si="8"/>
        <v>371.036572</v>
      </c>
      <c r="M67" s="83">
        <f t="shared" si="9"/>
        <v>534</v>
      </c>
      <c r="O67" s="175"/>
      <c r="U67" s="175"/>
    </row>
    <row r="68">
      <c r="E68" s="5" t="s">
        <v>237</v>
      </c>
      <c r="F68" s="5" t="s">
        <v>275</v>
      </c>
      <c r="O68" s="175"/>
      <c r="U68" s="175"/>
    </row>
    <row r="69">
      <c r="B69" s="31" t="s">
        <v>209</v>
      </c>
      <c r="E69" s="5" t="s">
        <v>239</v>
      </c>
      <c r="F69" s="5" t="s">
        <v>276</v>
      </c>
      <c r="O69" s="175"/>
      <c r="U69" s="175"/>
    </row>
    <row r="70">
      <c r="B70" s="31" t="s">
        <v>185</v>
      </c>
      <c r="C70" s="31">
        <v>1.0</v>
      </c>
      <c r="E70" s="5" t="s">
        <v>262</v>
      </c>
      <c r="F70" s="208">
        <v>89.0</v>
      </c>
      <c r="O70" s="175"/>
      <c r="U70" s="175"/>
    </row>
    <row r="71">
      <c r="B71" s="205" t="s">
        <v>210</v>
      </c>
      <c r="C71" s="205">
        <f>F64</f>
        <v>1</v>
      </c>
      <c r="E71" s="5" t="s">
        <v>263</v>
      </c>
      <c r="F71" s="5" t="s">
        <v>277</v>
      </c>
      <c r="O71" s="175"/>
      <c r="U71" s="175"/>
    </row>
    <row r="72">
      <c r="B72" s="205" t="s">
        <v>211</v>
      </c>
      <c r="C72" s="205">
        <f>F63</f>
        <v>0.1</v>
      </c>
      <c r="E72" s="5" t="s">
        <v>265</v>
      </c>
      <c r="F72" s="5">
        <v>0.3</v>
      </c>
      <c r="O72" s="175"/>
      <c r="U72" s="175"/>
    </row>
    <row r="73">
      <c r="B73" s="205" t="s">
        <v>213</v>
      </c>
      <c r="C73" s="205">
        <f>F62</f>
        <v>0.4</v>
      </c>
      <c r="E73" s="5" t="s">
        <v>266</v>
      </c>
      <c r="F73" s="5">
        <v>1.3</v>
      </c>
      <c r="O73" s="175"/>
      <c r="U73" s="175"/>
    </row>
    <row r="74">
      <c r="O74" s="175"/>
      <c r="U74" s="175"/>
    </row>
    <row r="75">
      <c r="A75" s="175"/>
      <c r="B75" s="175"/>
      <c r="C75" s="175"/>
      <c r="D75" s="175"/>
      <c r="E75" s="175"/>
      <c r="F75" s="175"/>
      <c r="G75" s="175"/>
      <c r="H75" s="175"/>
      <c r="I75" s="175"/>
      <c r="J75" s="175"/>
      <c r="K75" s="175"/>
      <c r="L75" s="175"/>
      <c r="M75" s="175"/>
      <c r="N75" s="175"/>
      <c r="O75" s="175"/>
      <c r="P75" s="175"/>
      <c r="Q75" s="175"/>
      <c r="R75" s="175"/>
      <c r="S75" s="175"/>
      <c r="T75" s="175"/>
      <c r="U75" s="175"/>
      <c r="V75" s="175"/>
      <c r="W75" s="175"/>
      <c r="X75" s="175"/>
      <c r="Y75" s="175"/>
      <c r="Z75" s="175"/>
      <c r="AA75" s="175"/>
      <c r="AB75" s="175"/>
      <c r="AC75" s="175"/>
      <c r="AD75" s="175"/>
      <c r="AE75" s="175"/>
      <c r="AF75" s="175"/>
      <c r="AG75" s="175"/>
    </row>
    <row r="76">
      <c r="E76" s="184" t="s">
        <v>278</v>
      </c>
      <c r="F76" s="5" t="s">
        <v>272</v>
      </c>
      <c r="O76" s="175"/>
      <c r="U76" s="175"/>
    </row>
    <row r="77">
      <c r="B77" s="205" t="s">
        <v>170</v>
      </c>
      <c r="C77" s="206">
        <f>F82</f>
        <v>8</v>
      </c>
      <c r="E77" s="5" t="s">
        <v>257</v>
      </c>
      <c r="F77" s="176" t="s">
        <v>273</v>
      </c>
      <c r="G77" s="5" t="s">
        <v>259</v>
      </c>
      <c r="H77" s="5"/>
      <c r="I77" s="5" t="s">
        <v>259</v>
      </c>
      <c r="O77" s="175"/>
      <c r="U77" s="175"/>
    </row>
    <row r="78">
      <c r="B78" s="205" t="s">
        <v>171</v>
      </c>
      <c r="C78" s="206">
        <f>F81</f>
        <v>8</v>
      </c>
      <c r="E78" s="5" t="s">
        <v>213</v>
      </c>
      <c r="F78" s="5">
        <v>0.25</v>
      </c>
      <c r="O78" s="175"/>
      <c r="U78" s="175"/>
    </row>
    <row r="79">
      <c r="B79" s="31" t="s">
        <v>172</v>
      </c>
      <c r="C79" s="54">
        <f>C77*m_per_in</f>
        <v>0.2032</v>
      </c>
      <c r="E79" s="5" t="s">
        <v>211</v>
      </c>
      <c r="F79" s="5">
        <v>0.1</v>
      </c>
      <c r="H79" s="73" t="s">
        <v>253</v>
      </c>
      <c r="I79" s="73" t="s">
        <v>254</v>
      </c>
      <c r="J79" s="73" t="s">
        <v>270</v>
      </c>
      <c r="K79" s="73"/>
      <c r="L79" s="73" t="s">
        <v>255</v>
      </c>
      <c r="M79" s="73" t="s">
        <v>256</v>
      </c>
      <c r="O79" s="175"/>
      <c r="U79" s="175"/>
    </row>
    <row r="80">
      <c r="B80" s="31" t="s">
        <v>174</v>
      </c>
      <c r="C80" s="54">
        <f>C78*m_per_in</f>
        <v>0.2032</v>
      </c>
      <c r="E80" s="5" t="s">
        <v>261</v>
      </c>
      <c r="F80" s="5">
        <v>1.0</v>
      </c>
      <c r="H80" s="73">
        <v>1.0</v>
      </c>
      <c r="I80" s="73">
        <v>200.0</v>
      </c>
      <c r="J80" s="151">
        <f t="shared" ref="J80:J84" si="10">$C$83/H80</f>
        <v>953.4960015</v>
      </c>
      <c r="K80" s="151"/>
      <c r="L80" s="151">
        <f t="shared" ref="L80:L84" si="11">$C$67+(H80+1)*$F$73</f>
        <v>365.836572</v>
      </c>
      <c r="M80" s="83">
        <f t="shared" ref="M80:M84" si="12">(H80+1)*$F$70</f>
        <v>178</v>
      </c>
      <c r="O80" s="175"/>
      <c r="U80" s="175"/>
    </row>
    <row r="81">
      <c r="B81" s="31" t="s">
        <v>177</v>
      </c>
      <c r="C81" s="41">
        <f>C79*C80</f>
        <v>0.04129024</v>
      </c>
      <c r="E81" s="5" t="s">
        <v>97</v>
      </c>
      <c r="F81" s="5">
        <v>8.0</v>
      </c>
      <c r="H81" s="73">
        <v>2.0</v>
      </c>
      <c r="I81" s="73">
        <v>100.0</v>
      </c>
      <c r="J81" s="151">
        <f t="shared" si="10"/>
        <v>476.7480007</v>
      </c>
      <c r="K81" s="151"/>
      <c r="L81" s="151">
        <f t="shared" si="11"/>
        <v>367.136572</v>
      </c>
      <c r="M81" s="83">
        <f t="shared" si="12"/>
        <v>267</v>
      </c>
      <c r="O81" s="175"/>
      <c r="U81" s="175"/>
    </row>
    <row r="82">
      <c r="B82" s="5" t="s">
        <v>179</v>
      </c>
      <c r="C82" s="190">
        <f>'STEP 2'!J9/C81</f>
        <v>24.21879844</v>
      </c>
      <c r="E82" s="5" t="s">
        <v>119</v>
      </c>
      <c r="F82" s="5">
        <v>8.0</v>
      </c>
      <c r="H82" s="73">
        <v>3.0</v>
      </c>
      <c r="I82" s="73">
        <v>60.0</v>
      </c>
      <c r="J82" s="151">
        <f t="shared" si="10"/>
        <v>317.8320005</v>
      </c>
      <c r="K82" s="151"/>
      <c r="L82" s="151">
        <f t="shared" si="11"/>
        <v>368.436572</v>
      </c>
      <c r="M82" s="83">
        <f t="shared" si="12"/>
        <v>356</v>
      </c>
      <c r="O82" s="175"/>
      <c r="U82" s="175"/>
    </row>
    <row r="83">
      <c r="B83" s="206" t="s">
        <v>180</v>
      </c>
      <c r="C83" s="192">
        <f>C82/m_per_in</f>
        <v>953.4960015</v>
      </c>
      <c r="E83" s="5" t="s">
        <v>237</v>
      </c>
      <c r="F83" s="5" t="s">
        <v>275</v>
      </c>
      <c r="H83" s="73">
        <v>4.0</v>
      </c>
      <c r="I83" s="73">
        <v>40.0</v>
      </c>
      <c r="J83" s="151">
        <f t="shared" si="10"/>
        <v>238.3740004</v>
      </c>
      <c r="K83" s="151"/>
      <c r="L83" s="151">
        <f t="shared" si="11"/>
        <v>369.736572</v>
      </c>
      <c r="M83" s="83">
        <f t="shared" si="12"/>
        <v>445</v>
      </c>
      <c r="O83" s="175"/>
      <c r="U83" s="175"/>
    </row>
    <row r="84">
      <c r="E84" s="5" t="s">
        <v>239</v>
      </c>
      <c r="F84" s="5" t="s">
        <v>276</v>
      </c>
      <c r="H84" s="73">
        <v>5.0</v>
      </c>
      <c r="I84" s="73">
        <v>60.0</v>
      </c>
      <c r="J84" s="151">
        <f t="shared" si="10"/>
        <v>190.6992003</v>
      </c>
      <c r="K84" s="151"/>
      <c r="L84" s="151">
        <f t="shared" si="11"/>
        <v>371.036572</v>
      </c>
      <c r="M84" s="83">
        <f t="shared" si="12"/>
        <v>534</v>
      </c>
      <c r="O84" s="175"/>
      <c r="U84" s="175"/>
    </row>
    <row r="85">
      <c r="B85" s="31" t="s">
        <v>209</v>
      </c>
      <c r="E85" s="5" t="s">
        <v>262</v>
      </c>
      <c r="F85" s="208">
        <v>80.0</v>
      </c>
      <c r="O85" s="175"/>
      <c r="U85" s="175"/>
    </row>
    <row r="86">
      <c r="B86" s="31" t="s">
        <v>185</v>
      </c>
      <c r="C86" s="31">
        <v>1.0</v>
      </c>
      <c r="E86" s="5" t="s">
        <v>263</v>
      </c>
      <c r="F86" s="5" t="s">
        <v>277</v>
      </c>
      <c r="H86" s="5"/>
      <c r="I86" s="5" t="s">
        <v>259</v>
      </c>
      <c r="O86" s="175"/>
      <c r="U86" s="175"/>
    </row>
    <row r="87">
      <c r="B87" s="205" t="s">
        <v>210</v>
      </c>
      <c r="C87" s="205">
        <f>F80</f>
        <v>1</v>
      </c>
      <c r="E87" s="5" t="s">
        <v>265</v>
      </c>
      <c r="F87" s="5">
        <v>0.375</v>
      </c>
      <c r="O87" s="175"/>
      <c r="U87" s="175"/>
    </row>
    <row r="88">
      <c r="B88" s="205" t="s">
        <v>211</v>
      </c>
      <c r="C88" s="205">
        <f>F79</f>
        <v>0.1</v>
      </c>
      <c r="E88" s="5" t="s">
        <v>266</v>
      </c>
      <c r="F88" s="5">
        <v>1.375</v>
      </c>
      <c r="O88" s="175"/>
      <c r="U88" s="175"/>
    </row>
    <row r="89">
      <c r="B89" s="205" t="s">
        <v>213</v>
      </c>
      <c r="C89" s="205">
        <f>F78</f>
        <v>0.25</v>
      </c>
      <c r="O89" s="175"/>
      <c r="U89" s="175"/>
    </row>
    <row r="90">
      <c r="A90" s="175"/>
      <c r="B90" s="175"/>
      <c r="C90" s="175"/>
      <c r="D90" s="175"/>
      <c r="E90" s="175"/>
      <c r="F90" s="175"/>
      <c r="G90" s="175"/>
      <c r="H90" s="175"/>
      <c r="I90" s="175"/>
      <c r="J90" s="175"/>
      <c r="K90" s="175"/>
      <c r="L90" s="175"/>
      <c r="M90" s="175"/>
      <c r="N90" s="175"/>
      <c r="O90" s="175"/>
      <c r="P90" s="175"/>
      <c r="Q90" s="175"/>
      <c r="R90" s="175"/>
      <c r="S90" s="175"/>
      <c r="T90" s="175"/>
      <c r="U90" s="175"/>
      <c r="V90" s="175"/>
      <c r="W90" s="175"/>
      <c r="X90" s="175"/>
      <c r="Y90" s="175"/>
      <c r="Z90" s="175"/>
      <c r="AA90" s="175"/>
      <c r="AB90" s="175"/>
      <c r="AC90" s="175"/>
      <c r="AD90" s="175"/>
      <c r="AE90" s="175"/>
      <c r="AF90" s="175"/>
      <c r="AG90" s="175"/>
    </row>
    <row r="91">
      <c r="O91" s="175"/>
      <c r="U91" s="175"/>
    </row>
    <row r="92">
      <c r="E92" s="184" t="s">
        <v>279</v>
      </c>
      <c r="F92" s="5" t="s">
        <v>280</v>
      </c>
      <c r="O92" s="175"/>
      <c r="U92" s="175"/>
    </row>
    <row r="93">
      <c r="B93" s="205" t="s">
        <v>170</v>
      </c>
      <c r="C93" s="206">
        <v>8.6</v>
      </c>
      <c r="E93" s="5" t="s">
        <v>257</v>
      </c>
      <c r="F93" s="176" t="s">
        <v>281</v>
      </c>
      <c r="G93" s="5" t="s">
        <v>259</v>
      </c>
      <c r="H93" s="5"/>
      <c r="I93" s="5" t="s">
        <v>259</v>
      </c>
      <c r="O93" s="175"/>
      <c r="U93" s="175"/>
    </row>
    <row r="94">
      <c r="B94" s="205" t="s">
        <v>171</v>
      </c>
      <c r="C94" s="206">
        <v>7.87</v>
      </c>
      <c r="E94" s="5" t="s">
        <v>282</v>
      </c>
      <c r="F94" s="5">
        <v>5.0</v>
      </c>
      <c r="O94" s="175"/>
      <c r="U94" s="175"/>
    </row>
    <row r="95">
      <c r="B95" s="31" t="s">
        <v>172</v>
      </c>
      <c r="C95" s="54">
        <f>F98/1000</f>
        <v>0.2</v>
      </c>
      <c r="E95" s="5" t="s">
        <v>283</v>
      </c>
      <c r="F95" s="5">
        <v>2.5</v>
      </c>
      <c r="O95" s="175"/>
      <c r="U95" s="175"/>
    </row>
    <row r="96">
      <c r="B96" s="31" t="s">
        <v>174</v>
      </c>
      <c r="C96" s="54">
        <f>F97/1000</f>
        <v>0.22</v>
      </c>
      <c r="E96" s="5" t="s">
        <v>284</v>
      </c>
      <c r="F96" s="5">
        <v>15.0</v>
      </c>
      <c r="H96" s="187" t="s">
        <v>253</v>
      </c>
      <c r="I96" s="187" t="s">
        <v>254</v>
      </c>
      <c r="J96" s="187" t="s">
        <v>255</v>
      </c>
      <c r="K96" s="187" t="s">
        <v>256</v>
      </c>
      <c r="O96" s="175"/>
      <c r="U96" s="175"/>
    </row>
    <row r="97">
      <c r="B97" s="31" t="s">
        <v>177</v>
      </c>
      <c r="C97" s="41">
        <f>C95*C96</f>
        <v>0.044</v>
      </c>
      <c r="E97" s="5" t="s">
        <v>285</v>
      </c>
      <c r="F97" s="5">
        <v>220.0</v>
      </c>
      <c r="H97" s="73">
        <v>1.0</v>
      </c>
      <c r="I97" s="73">
        <v>200.0</v>
      </c>
      <c r="J97" s="151">
        <f t="shared" ref="J97:J101" si="13">1*H97+(H97+1)*$F$103</f>
        <v>2.42</v>
      </c>
      <c r="K97" s="83">
        <f t="shared" ref="K97:K101" si="14">(H97+1)*$F$99</f>
        <v>60</v>
      </c>
      <c r="O97" s="175"/>
      <c r="U97" s="175"/>
    </row>
    <row r="98">
      <c r="B98" s="5" t="s">
        <v>179</v>
      </c>
      <c r="C98" s="190">
        <f>'STEP 2'!J9/C97</f>
        <v>22.72727273</v>
      </c>
      <c r="E98" s="5" t="s">
        <v>286</v>
      </c>
      <c r="F98" s="5">
        <v>200.0</v>
      </c>
      <c r="H98" s="73">
        <v>2.0</v>
      </c>
      <c r="I98" s="73">
        <v>90.0</v>
      </c>
      <c r="J98" s="151">
        <f t="shared" si="13"/>
        <v>4.13</v>
      </c>
      <c r="K98" s="83">
        <f t="shared" si="14"/>
        <v>90</v>
      </c>
      <c r="O98" s="175"/>
      <c r="U98" s="175"/>
    </row>
    <row r="99">
      <c r="B99" s="206" t="s">
        <v>180</v>
      </c>
      <c r="C99" s="192">
        <f>C98/m_per_in</f>
        <v>894.7745168</v>
      </c>
      <c r="E99" s="5" t="s">
        <v>262</v>
      </c>
      <c r="F99" s="208">
        <v>30.0</v>
      </c>
      <c r="H99" s="73">
        <v>3.0</v>
      </c>
      <c r="I99" s="73">
        <v>80.0</v>
      </c>
      <c r="J99" s="151">
        <f t="shared" si="13"/>
        <v>5.84</v>
      </c>
      <c r="K99" s="83">
        <f t="shared" si="14"/>
        <v>120</v>
      </c>
      <c r="O99" s="175"/>
      <c r="U99" s="175"/>
    </row>
    <row r="100">
      <c r="E100" s="5" t="s">
        <v>263</v>
      </c>
      <c r="F100" s="5" t="s">
        <v>277</v>
      </c>
      <c r="H100" s="73">
        <v>4.0</v>
      </c>
      <c r="I100" s="73">
        <v>60.0</v>
      </c>
      <c r="J100" s="151">
        <f t="shared" si="13"/>
        <v>7.55</v>
      </c>
      <c r="K100" s="83">
        <f t="shared" si="14"/>
        <v>150</v>
      </c>
      <c r="O100" s="175"/>
      <c r="U100" s="175"/>
    </row>
    <row r="101">
      <c r="B101" s="31" t="s">
        <v>209</v>
      </c>
      <c r="E101" s="5" t="s">
        <v>287</v>
      </c>
      <c r="F101" s="5">
        <v>3.0</v>
      </c>
      <c r="H101" s="73">
        <v>5.0</v>
      </c>
      <c r="I101" s="73">
        <v>40.0</v>
      </c>
      <c r="J101" s="151">
        <f t="shared" si="13"/>
        <v>9.26</v>
      </c>
      <c r="K101" s="83">
        <f t="shared" si="14"/>
        <v>180</v>
      </c>
      <c r="O101" s="175"/>
      <c r="U101" s="175"/>
    </row>
    <row r="102">
      <c r="B102" s="31" t="s">
        <v>185</v>
      </c>
      <c r="C102" s="31">
        <v>1.0</v>
      </c>
      <c r="E102" s="5" t="s">
        <v>288</v>
      </c>
      <c r="F102" s="5">
        <v>18.0</v>
      </c>
      <c r="O102" s="175"/>
      <c r="U102" s="175"/>
    </row>
    <row r="103">
      <c r="B103" s="205" t="s">
        <v>210</v>
      </c>
      <c r="C103" s="206">
        <v>0.590551</v>
      </c>
      <c r="E103" s="5" t="s">
        <v>266</v>
      </c>
      <c r="F103" s="5">
        <v>0.71</v>
      </c>
      <c r="O103" s="175"/>
      <c r="U103" s="175"/>
    </row>
    <row r="104">
      <c r="B104" s="205" t="s">
        <v>211</v>
      </c>
      <c r="C104" s="206">
        <v>0.0984252</v>
      </c>
      <c r="E104" s="5" t="s">
        <v>97</v>
      </c>
      <c r="F104" s="5">
        <v>8.66</v>
      </c>
      <c r="O104" s="175"/>
      <c r="U104" s="175"/>
    </row>
    <row r="105">
      <c r="B105" s="205" t="s">
        <v>213</v>
      </c>
      <c r="C105" s="206">
        <v>0.19685</v>
      </c>
      <c r="E105" s="5" t="s">
        <v>119</v>
      </c>
      <c r="F105" s="5">
        <v>7.87</v>
      </c>
      <c r="O105" s="175"/>
      <c r="U105" s="175"/>
    </row>
    <row r="106">
      <c r="O106" s="175"/>
      <c r="U106" s="175"/>
    </row>
    <row r="107">
      <c r="O107" s="175"/>
      <c r="U107" s="175"/>
    </row>
    <row r="108">
      <c r="O108" s="175"/>
      <c r="U108" s="175"/>
    </row>
    <row r="109">
      <c r="O109" s="175"/>
      <c r="U109" s="175"/>
    </row>
    <row r="110">
      <c r="O110" s="175"/>
      <c r="U110" s="175"/>
    </row>
    <row r="111">
      <c r="O111" s="175"/>
      <c r="U111" s="175"/>
    </row>
    <row r="112">
      <c r="H112" s="5"/>
      <c r="I112" s="5" t="s">
        <v>259</v>
      </c>
      <c r="O112" s="175"/>
      <c r="U112" s="175"/>
    </row>
    <row r="113">
      <c r="O113" s="175"/>
      <c r="U113" s="175"/>
    </row>
    <row r="114">
      <c r="O114" s="175"/>
      <c r="U114" s="175"/>
    </row>
    <row r="115">
      <c r="O115" s="175"/>
      <c r="U115" s="175"/>
    </row>
    <row r="116">
      <c r="O116" s="175"/>
      <c r="U116" s="175"/>
    </row>
    <row r="117">
      <c r="O117" s="175"/>
      <c r="U117" s="175"/>
    </row>
    <row r="118">
      <c r="O118" s="175"/>
      <c r="U118" s="175"/>
    </row>
    <row r="119">
      <c r="O119" s="175"/>
      <c r="U119" s="175"/>
    </row>
    <row r="120">
      <c r="O120" s="175"/>
      <c r="U120" s="175"/>
    </row>
    <row r="121">
      <c r="O121" s="175"/>
      <c r="U121" s="175"/>
    </row>
    <row r="122">
      <c r="O122" s="175"/>
      <c r="U122" s="175"/>
    </row>
    <row r="123">
      <c r="O123" s="175"/>
      <c r="U123" s="175"/>
    </row>
    <row r="124">
      <c r="O124" s="175"/>
      <c r="U124" s="175"/>
    </row>
    <row r="125">
      <c r="O125" s="175"/>
      <c r="U125" s="175"/>
    </row>
    <row r="126">
      <c r="O126" s="175"/>
      <c r="U126" s="175"/>
    </row>
    <row r="127">
      <c r="O127" s="175"/>
      <c r="U127" s="175"/>
    </row>
    <row r="128">
      <c r="O128" s="175"/>
      <c r="U128" s="175"/>
    </row>
    <row r="129">
      <c r="O129" s="175"/>
      <c r="U129" s="175"/>
    </row>
    <row r="130">
      <c r="O130" s="175"/>
      <c r="U130" s="175"/>
    </row>
    <row r="131">
      <c r="O131" s="175"/>
      <c r="U131" s="175"/>
    </row>
    <row r="132">
      <c r="O132" s="175"/>
      <c r="U132" s="175"/>
    </row>
    <row r="133">
      <c r="O133" s="175"/>
      <c r="U133" s="175"/>
    </row>
    <row r="134">
      <c r="O134" s="175"/>
      <c r="U134" s="175"/>
    </row>
    <row r="135">
      <c r="O135" s="175"/>
      <c r="U135" s="175"/>
    </row>
    <row r="136">
      <c r="O136" s="175"/>
      <c r="U136" s="175"/>
    </row>
    <row r="137">
      <c r="O137" s="175"/>
      <c r="U137" s="175"/>
    </row>
    <row r="138">
      <c r="O138" s="175"/>
      <c r="U138" s="175"/>
    </row>
    <row r="139">
      <c r="O139" s="175"/>
      <c r="U139" s="175"/>
    </row>
    <row r="140">
      <c r="O140" s="175"/>
      <c r="U140" s="175"/>
    </row>
    <row r="141">
      <c r="O141" s="175"/>
      <c r="U141" s="175"/>
    </row>
    <row r="142">
      <c r="O142" s="175"/>
      <c r="U142" s="175"/>
    </row>
    <row r="143">
      <c r="O143" s="175"/>
      <c r="U143" s="175"/>
    </row>
    <row r="144">
      <c r="O144" s="175"/>
      <c r="U144" s="175"/>
    </row>
    <row r="145">
      <c r="O145" s="175"/>
      <c r="U145" s="175"/>
    </row>
    <row r="146">
      <c r="O146" s="175"/>
      <c r="U146" s="175"/>
    </row>
    <row r="147">
      <c r="O147" s="175"/>
      <c r="U147" s="175"/>
    </row>
    <row r="148">
      <c r="O148" s="175"/>
      <c r="U148" s="175"/>
    </row>
    <row r="149">
      <c r="O149" s="175"/>
      <c r="U149" s="175"/>
    </row>
    <row r="150">
      <c r="O150" s="175"/>
      <c r="U150" s="175"/>
    </row>
    <row r="151">
      <c r="O151" s="175"/>
      <c r="U151" s="175"/>
    </row>
    <row r="152">
      <c r="O152" s="175"/>
      <c r="U152" s="175"/>
    </row>
    <row r="153">
      <c r="O153" s="175"/>
      <c r="U153" s="175"/>
    </row>
    <row r="154">
      <c r="O154" s="175"/>
      <c r="U154" s="175"/>
    </row>
    <row r="155">
      <c r="O155" s="175"/>
      <c r="U155" s="175"/>
    </row>
    <row r="156">
      <c r="O156" s="175"/>
      <c r="U156" s="175"/>
    </row>
    <row r="157">
      <c r="O157" s="175"/>
      <c r="U157" s="175"/>
    </row>
    <row r="158">
      <c r="O158" s="175"/>
      <c r="U158" s="175"/>
    </row>
    <row r="159">
      <c r="O159" s="175"/>
      <c r="U159" s="175"/>
    </row>
    <row r="160">
      <c r="O160" s="175"/>
      <c r="U160" s="175"/>
    </row>
    <row r="161">
      <c r="O161" s="175"/>
      <c r="U161" s="175"/>
    </row>
    <row r="162">
      <c r="O162" s="175"/>
      <c r="U162" s="175"/>
    </row>
    <row r="163">
      <c r="O163" s="175"/>
      <c r="U163" s="175"/>
    </row>
    <row r="164">
      <c r="O164" s="175"/>
      <c r="U164" s="175"/>
    </row>
    <row r="165">
      <c r="O165" s="175"/>
      <c r="U165" s="175"/>
    </row>
    <row r="166">
      <c r="O166" s="175"/>
      <c r="U166" s="175"/>
    </row>
    <row r="167">
      <c r="O167" s="175"/>
      <c r="U167" s="175"/>
    </row>
    <row r="168">
      <c r="O168" s="175"/>
      <c r="U168" s="175"/>
    </row>
    <row r="169">
      <c r="O169" s="175"/>
      <c r="U169" s="175"/>
    </row>
    <row r="170">
      <c r="O170" s="175"/>
      <c r="U170" s="175"/>
    </row>
    <row r="171">
      <c r="O171" s="175"/>
      <c r="U171" s="175"/>
    </row>
    <row r="172">
      <c r="O172" s="175"/>
      <c r="U172" s="175"/>
    </row>
    <row r="173">
      <c r="O173" s="175"/>
      <c r="U173" s="175"/>
    </row>
    <row r="174">
      <c r="O174" s="175"/>
      <c r="U174" s="175"/>
    </row>
    <row r="175">
      <c r="O175" s="175"/>
      <c r="U175" s="175"/>
    </row>
    <row r="176">
      <c r="O176" s="175"/>
      <c r="U176" s="175"/>
    </row>
    <row r="177">
      <c r="O177" s="175"/>
      <c r="U177" s="175"/>
    </row>
    <row r="178">
      <c r="O178" s="175"/>
      <c r="U178" s="175"/>
    </row>
    <row r="179">
      <c r="O179" s="175"/>
      <c r="U179" s="175"/>
    </row>
    <row r="180">
      <c r="O180" s="175"/>
      <c r="U180" s="175"/>
    </row>
    <row r="181">
      <c r="O181" s="175"/>
      <c r="U181" s="175"/>
    </row>
    <row r="182">
      <c r="O182" s="175"/>
      <c r="U182" s="175"/>
    </row>
    <row r="183">
      <c r="O183" s="175"/>
      <c r="U183" s="175"/>
    </row>
    <row r="184">
      <c r="O184" s="175"/>
      <c r="U184" s="175"/>
    </row>
    <row r="185">
      <c r="O185" s="175"/>
      <c r="U185" s="175"/>
    </row>
    <row r="186">
      <c r="O186" s="175"/>
      <c r="U186" s="175"/>
    </row>
    <row r="187">
      <c r="O187" s="175"/>
      <c r="U187" s="175"/>
    </row>
    <row r="188">
      <c r="O188" s="175"/>
      <c r="U188" s="175"/>
    </row>
    <row r="189">
      <c r="O189" s="175"/>
      <c r="U189" s="175"/>
    </row>
    <row r="190">
      <c r="O190" s="175"/>
      <c r="U190" s="175"/>
    </row>
    <row r="191">
      <c r="O191" s="175"/>
      <c r="U191" s="175"/>
    </row>
    <row r="192">
      <c r="O192" s="175"/>
      <c r="U192" s="175"/>
    </row>
    <row r="193">
      <c r="O193" s="175"/>
      <c r="U193" s="175"/>
    </row>
    <row r="194">
      <c r="O194" s="175"/>
      <c r="U194" s="175"/>
    </row>
    <row r="195">
      <c r="O195" s="175"/>
      <c r="U195" s="175"/>
    </row>
    <row r="196">
      <c r="O196" s="175"/>
      <c r="U196" s="175"/>
    </row>
    <row r="197">
      <c r="O197" s="175"/>
      <c r="U197" s="175"/>
    </row>
    <row r="198">
      <c r="O198" s="175"/>
      <c r="U198" s="175"/>
    </row>
    <row r="199">
      <c r="O199" s="175"/>
      <c r="U199" s="175"/>
    </row>
    <row r="200">
      <c r="O200" s="175"/>
      <c r="U200" s="175"/>
    </row>
    <row r="201">
      <c r="O201" s="175"/>
      <c r="U201" s="175"/>
    </row>
    <row r="202">
      <c r="O202" s="175"/>
      <c r="U202" s="175"/>
    </row>
    <row r="203">
      <c r="O203" s="175"/>
      <c r="U203" s="175"/>
    </row>
    <row r="204">
      <c r="O204" s="175"/>
      <c r="U204" s="175"/>
    </row>
    <row r="205">
      <c r="O205" s="175"/>
      <c r="U205" s="175"/>
    </row>
    <row r="206">
      <c r="O206" s="175"/>
      <c r="U206" s="175"/>
    </row>
    <row r="207">
      <c r="O207" s="175"/>
      <c r="U207" s="175"/>
    </row>
    <row r="208">
      <c r="O208" s="175"/>
      <c r="U208" s="175"/>
    </row>
    <row r="209">
      <c r="O209" s="175"/>
      <c r="U209" s="175"/>
    </row>
    <row r="210">
      <c r="O210" s="175"/>
      <c r="U210" s="175"/>
    </row>
    <row r="211">
      <c r="O211" s="175"/>
      <c r="U211" s="175"/>
    </row>
    <row r="212">
      <c r="O212" s="175"/>
      <c r="U212" s="175"/>
    </row>
    <row r="213">
      <c r="O213" s="175"/>
      <c r="U213" s="175"/>
    </row>
    <row r="214">
      <c r="O214" s="175"/>
      <c r="U214" s="175"/>
    </row>
    <row r="215">
      <c r="O215" s="175"/>
      <c r="U215" s="175"/>
    </row>
    <row r="216">
      <c r="O216" s="175"/>
      <c r="U216" s="175"/>
    </row>
    <row r="217">
      <c r="O217" s="175"/>
      <c r="U217" s="175"/>
    </row>
    <row r="218">
      <c r="O218" s="175"/>
      <c r="U218" s="175"/>
    </row>
    <row r="219">
      <c r="O219" s="175"/>
      <c r="U219" s="175"/>
    </row>
    <row r="220">
      <c r="O220" s="175"/>
      <c r="U220" s="175"/>
    </row>
    <row r="221">
      <c r="O221" s="175"/>
      <c r="U221" s="175"/>
    </row>
    <row r="222">
      <c r="O222" s="175"/>
      <c r="U222" s="175"/>
    </row>
    <row r="223">
      <c r="O223" s="175"/>
      <c r="U223" s="175"/>
    </row>
    <row r="224">
      <c r="O224" s="175"/>
      <c r="U224" s="175"/>
    </row>
    <row r="225">
      <c r="O225" s="175"/>
      <c r="U225" s="175"/>
    </row>
    <row r="226">
      <c r="O226" s="175"/>
      <c r="U226" s="175"/>
    </row>
    <row r="227">
      <c r="O227" s="175"/>
      <c r="U227" s="175"/>
    </row>
    <row r="228">
      <c r="O228" s="175"/>
      <c r="U228" s="175"/>
    </row>
    <row r="229">
      <c r="O229" s="175"/>
      <c r="U229" s="175"/>
    </row>
    <row r="230">
      <c r="O230" s="175"/>
      <c r="U230" s="175"/>
    </row>
    <row r="231">
      <c r="O231" s="175"/>
      <c r="U231" s="175"/>
    </row>
    <row r="232">
      <c r="O232" s="175"/>
      <c r="U232" s="175"/>
    </row>
    <row r="233">
      <c r="O233" s="175"/>
      <c r="U233" s="175"/>
    </row>
    <row r="234">
      <c r="O234" s="175"/>
      <c r="U234" s="175"/>
    </row>
    <row r="235">
      <c r="O235" s="175"/>
      <c r="U235" s="175"/>
    </row>
    <row r="236">
      <c r="O236" s="175"/>
      <c r="U236" s="175"/>
    </row>
    <row r="237">
      <c r="O237" s="175"/>
      <c r="U237" s="175"/>
    </row>
    <row r="238">
      <c r="O238" s="175"/>
      <c r="U238" s="175"/>
    </row>
    <row r="239">
      <c r="O239" s="175"/>
      <c r="U239" s="175"/>
    </row>
    <row r="240">
      <c r="O240" s="175"/>
      <c r="U240" s="175"/>
    </row>
    <row r="241">
      <c r="O241" s="175"/>
      <c r="U241" s="175"/>
    </row>
    <row r="242">
      <c r="O242" s="175"/>
      <c r="U242" s="175"/>
    </row>
    <row r="243">
      <c r="O243" s="175"/>
      <c r="U243" s="175"/>
    </row>
    <row r="244">
      <c r="O244" s="175"/>
      <c r="U244" s="175"/>
    </row>
    <row r="245">
      <c r="O245" s="175"/>
      <c r="U245" s="175"/>
    </row>
    <row r="246">
      <c r="O246" s="175"/>
      <c r="U246" s="175"/>
    </row>
    <row r="247">
      <c r="O247" s="175"/>
      <c r="U247" s="175"/>
    </row>
    <row r="248">
      <c r="O248" s="175"/>
      <c r="U248" s="175"/>
    </row>
    <row r="249">
      <c r="O249" s="175"/>
      <c r="U249" s="175"/>
    </row>
    <row r="250">
      <c r="O250" s="175"/>
      <c r="U250" s="175"/>
    </row>
    <row r="251">
      <c r="O251" s="175"/>
      <c r="U251" s="175"/>
    </row>
    <row r="252">
      <c r="O252" s="175"/>
      <c r="U252" s="175"/>
    </row>
    <row r="253">
      <c r="O253" s="175"/>
      <c r="U253" s="175"/>
    </row>
    <row r="254">
      <c r="O254" s="175"/>
      <c r="U254" s="175"/>
    </row>
    <row r="255">
      <c r="O255" s="175"/>
      <c r="U255" s="175"/>
    </row>
    <row r="256">
      <c r="O256" s="175"/>
      <c r="U256" s="175"/>
    </row>
    <row r="257">
      <c r="O257" s="175"/>
      <c r="U257" s="175"/>
    </row>
    <row r="258">
      <c r="O258" s="175"/>
      <c r="U258" s="175"/>
    </row>
    <row r="259">
      <c r="O259" s="175"/>
      <c r="U259" s="175"/>
    </row>
    <row r="260">
      <c r="O260" s="175"/>
      <c r="U260" s="175"/>
    </row>
    <row r="261">
      <c r="O261" s="175"/>
      <c r="U261" s="175"/>
    </row>
    <row r="262">
      <c r="O262" s="175"/>
      <c r="U262" s="175"/>
    </row>
    <row r="263">
      <c r="O263" s="175"/>
      <c r="U263" s="175"/>
    </row>
    <row r="264">
      <c r="O264" s="175"/>
      <c r="U264" s="175"/>
    </row>
    <row r="265">
      <c r="O265" s="175"/>
      <c r="U265" s="175"/>
    </row>
    <row r="266">
      <c r="O266" s="175"/>
      <c r="U266" s="175"/>
    </row>
    <row r="267">
      <c r="O267" s="175"/>
      <c r="U267" s="175"/>
    </row>
    <row r="268">
      <c r="O268" s="175"/>
      <c r="U268" s="175"/>
    </row>
    <row r="269">
      <c r="O269" s="175"/>
      <c r="U269" s="175"/>
    </row>
    <row r="270">
      <c r="O270" s="175"/>
      <c r="U270" s="175"/>
    </row>
    <row r="271">
      <c r="O271" s="175"/>
      <c r="U271" s="175"/>
    </row>
    <row r="272">
      <c r="O272" s="175"/>
      <c r="U272" s="175"/>
    </row>
    <row r="273">
      <c r="O273" s="175"/>
      <c r="U273" s="175"/>
    </row>
    <row r="274">
      <c r="O274" s="175"/>
      <c r="U274" s="175"/>
    </row>
    <row r="275">
      <c r="O275" s="175"/>
      <c r="U275" s="175"/>
    </row>
    <row r="276">
      <c r="O276" s="175"/>
      <c r="U276" s="175"/>
    </row>
    <row r="277">
      <c r="O277" s="175"/>
      <c r="U277" s="175"/>
    </row>
    <row r="278">
      <c r="O278" s="175"/>
      <c r="U278" s="175"/>
    </row>
    <row r="279">
      <c r="O279" s="175"/>
      <c r="U279" s="175"/>
    </row>
    <row r="280">
      <c r="O280" s="175"/>
      <c r="U280" s="175"/>
    </row>
    <row r="281">
      <c r="O281" s="175"/>
      <c r="U281" s="175"/>
    </row>
    <row r="282">
      <c r="O282" s="175"/>
      <c r="U282" s="175"/>
    </row>
    <row r="283">
      <c r="O283" s="175"/>
      <c r="U283" s="175"/>
    </row>
    <row r="284">
      <c r="O284" s="175"/>
      <c r="U284" s="175"/>
    </row>
    <row r="285">
      <c r="O285" s="175"/>
      <c r="U285" s="175"/>
    </row>
    <row r="286">
      <c r="O286" s="175"/>
      <c r="U286" s="175"/>
    </row>
    <row r="287">
      <c r="O287" s="175"/>
      <c r="U287" s="175"/>
    </row>
    <row r="288">
      <c r="O288" s="175"/>
      <c r="U288" s="175"/>
    </row>
    <row r="289">
      <c r="O289" s="175"/>
      <c r="U289" s="175"/>
    </row>
    <row r="290">
      <c r="O290" s="175"/>
      <c r="U290" s="175"/>
    </row>
    <row r="291">
      <c r="O291" s="175"/>
      <c r="U291" s="175"/>
    </row>
    <row r="292">
      <c r="O292" s="175"/>
      <c r="U292" s="175"/>
    </row>
    <row r="293">
      <c r="O293" s="175"/>
      <c r="U293" s="175"/>
    </row>
    <row r="294">
      <c r="O294" s="175"/>
      <c r="U294" s="175"/>
    </row>
    <row r="295">
      <c r="O295" s="175"/>
      <c r="U295" s="175"/>
    </row>
    <row r="296">
      <c r="O296" s="175"/>
      <c r="U296" s="175"/>
    </row>
    <row r="297">
      <c r="O297" s="175"/>
      <c r="U297" s="175"/>
    </row>
    <row r="298">
      <c r="O298" s="175"/>
      <c r="U298" s="175"/>
    </row>
    <row r="299">
      <c r="O299" s="175"/>
      <c r="U299" s="175"/>
    </row>
    <row r="300">
      <c r="O300" s="175"/>
      <c r="U300" s="175"/>
    </row>
    <row r="301">
      <c r="O301" s="175"/>
      <c r="U301" s="175"/>
    </row>
    <row r="302">
      <c r="O302" s="175"/>
      <c r="U302" s="175"/>
    </row>
    <row r="303">
      <c r="O303" s="175"/>
      <c r="U303" s="175"/>
    </row>
    <row r="304">
      <c r="O304" s="175"/>
      <c r="U304" s="175"/>
    </row>
    <row r="305">
      <c r="O305" s="175"/>
      <c r="U305" s="175"/>
    </row>
    <row r="306">
      <c r="O306" s="175"/>
      <c r="U306" s="175"/>
    </row>
    <row r="307">
      <c r="O307" s="175"/>
      <c r="U307" s="175"/>
    </row>
    <row r="308">
      <c r="O308" s="175"/>
      <c r="U308" s="175"/>
    </row>
    <row r="309">
      <c r="O309" s="175"/>
      <c r="U309" s="175"/>
    </row>
    <row r="310">
      <c r="O310" s="175"/>
      <c r="U310" s="175"/>
    </row>
    <row r="311">
      <c r="O311" s="175"/>
      <c r="U311" s="175"/>
    </row>
    <row r="312">
      <c r="O312" s="175"/>
      <c r="U312" s="175"/>
    </row>
    <row r="313">
      <c r="O313" s="175"/>
      <c r="U313" s="175"/>
    </row>
    <row r="314">
      <c r="O314" s="175"/>
      <c r="U314" s="175"/>
    </row>
    <row r="315">
      <c r="O315" s="175"/>
      <c r="U315" s="175"/>
    </row>
    <row r="316">
      <c r="O316" s="175"/>
      <c r="U316" s="175"/>
    </row>
    <row r="317">
      <c r="O317" s="175"/>
      <c r="U317" s="175"/>
    </row>
    <row r="318">
      <c r="O318" s="175"/>
      <c r="U318" s="175"/>
    </row>
    <row r="319">
      <c r="O319" s="175"/>
      <c r="U319" s="175"/>
    </row>
    <row r="320">
      <c r="O320" s="175"/>
      <c r="U320" s="175"/>
    </row>
    <row r="321">
      <c r="O321" s="175"/>
      <c r="U321" s="175"/>
    </row>
    <row r="322">
      <c r="O322" s="175"/>
      <c r="U322" s="175"/>
    </row>
    <row r="323">
      <c r="O323" s="175"/>
      <c r="U323" s="175"/>
    </row>
    <row r="324">
      <c r="O324" s="175"/>
      <c r="U324" s="175"/>
    </row>
    <row r="325">
      <c r="O325" s="175"/>
      <c r="U325" s="175"/>
    </row>
    <row r="326">
      <c r="O326" s="175"/>
      <c r="U326" s="175"/>
    </row>
    <row r="327">
      <c r="O327" s="175"/>
      <c r="U327" s="175"/>
    </row>
    <row r="328">
      <c r="O328" s="175"/>
      <c r="U328" s="175"/>
    </row>
    <row r="329">
      <c r="O329" s="175"/>
      <c r="U329" s="175"/>
    </row>
    <row r="330">
      <c r="O330" s="175"/>
      <c r="U330" s="175"/>
    </row>
    <row r="331">
      <c r="O331" s="175"/>
      <c r="U331" s="175"/>
    </row>
    <row r="332">
      <c r="O332" s="175"/>
      <c r="U332" s="175"/>
    </row>
    <row r="333">
      <c r="O333" s="175"/>
      <c r="U333" s="175"/>
    </row>
    <row r="334">
      <c r="O334" s="175"/>
      <c r="U334" s="175"/>
    </row>
    <row r="335">
      <c r="O335" s="175"/>
      <c r="U335" s="175"/>
    </row>
    <row r="336">
      <c r="O336" s="175"/>
      <c r="U336" s="175"/>
    </row>
    <row r="337">
      <c r="O337" s="175"/>
      <c r="U337" s="175"/>
    </row>
    <row r="338">
      <c r="O338" s="175"/>
      <c r="U338" s="175"/>
    </row>
    <row r="339">
      <c r="O339" s="175"/>
      <c r="U339" s="175"/>
    </row>
    <row r="340">
      <c r="O340" s="175"/>
      <c r="U340" s="175"/>
    </row>
    <row r="341">
      <c r="O341" s="175"/>
      <c r="U341" s="175"/>
    </row>
    <row r="342">
      <c r="O342" s="175"/>
      <c r="U342" s="175"/>
    </row>
    <row r="343">
      <c r="O343" s="175"/>
      <c r="U343" s="175"/>
    </row>
    <row r="344">
      <c r="O344" s="175"/>
      <c r="U344" s="175"/>
    </row>
    <row r="345">
      <c r="O345" s="175"/>
      <c r="U345" s="175"/>
    </row>
    <row r="346">
      <c r="O346" s="175"/>
      <c r="U346" s="175"/>
    </row>
    <row r="347">
      <c r="O347" s="175"/>
      <c r="U347" s="175"/>
    </row>
    <row r="348">
      <c r="O348" s="175"/>
      <c r="U348" s="175"/>
    </row>
    <row r="349">
      <c r="O349" s="175"/>
      <c r="U349" s="175"/>
    </row>
    <row r="350">
      <c r="O350" s="175"/>
      <c r="U350" s="175"/>
    </row>
    <row r="351">
      <c r="O351" s="175"/>
      <c r="U351" s="175"/>
    </row>
    <row r="352">
      <c r="O352" s="175"/>
      <c r="U352" s="175"/>
    </row>
    <row r="353">
      <c r="O353" s="175"/>
      <c r="U353" s="175"/>
    </row>
    <row r="354">
      <c r="O354" s="175"/>
      <c r="U354" s="175"/>
    </row>
    <row r="355">
      <c r="O355" s="175"/>
      <c r="U355" s="175"/>
    </row>
    <row r="356">
      <c r="O356" s="175"/>
      <c r="U356" s="175"/>
    </row>
    <row r="357">
      <c r="O357" s="175"/>
      <c r="U357" s="175"/>
    </row>
    <row r="358">
      <c r="O358" s="175"/>
      <c r="U358" s="175"/>
    </row>
    <row r="359">
      <c r="O359" s="175"/>
      <c r="U359" s="175"/>
    </row>
    <row r="360">
      <c r="O360" s="175"/>
      <c r="U360" s="175"/>
    </row>
    <row r="361">
      <c r="O361" s="175"/>
      <c r="U361" s="175"/>
    </row>
    <row r="362">
      <c r="O362" s="175"/>
      <c r="U362" s="175"/>
    </row>
    <row r="363">
      <c r="O363" s="175"/>
      <c r="U363" s="175"/>
    </row>
    <row r="364">
      <c r="O364" s="175"/>
      <c r="U364" s="175"/>
    </row>
    <row r="365">
      <c r="O365" s="175"/>
      <c r="U365" s="175"/>
    </row>
    <row r="366">
      <c r="O366" s="175"/>
      <c r="U366" s="175"/>
    </row>
    <row r="367">
      <c r="O367" s="175"/>
      <c r="U367" s="175"/>
    </row>
    <row r="368">
      <c r="O368" s="175"/>
      <c r="U368" s="175"/>
    </row>
    <row r="369">
      <c r="O369" s="175"/>
      <c r="U369" s="175"/>
    </row>
    <row r="370">
      <c r="O370" s="175"/>
      <c r="U370" s="175"/>
    </row>
    <row r="371">
      <c r="O371" s="175"/>
      <c r="U371" s="175"/>
    </row>
    <row r="372">
      <c r="O372" s="175"/>
      <c r="U372" s="175"/>
    </row>
    <row r="373">
      <c r="O373" s="175"/>
      <c r="U373" s="175"/>
    </row>
    <row r="374">
      <c r="O374" s="175"/>
      <c r="U374" s="175"/>
    </row>
    <row r="375">
      <c r="O375" s="175"/>
      <c r="U375" s="175"/>
    </row>
    <row r="376">
      <c r="O376" s="175"/>
      <c r="U376" s="175"/>
    </row>
    <row r="377">
      <c r="O377" s="175"/>
      <c r="U377" s="175"/>
    </row>
    <row r="378">
      <c r="O378" s="175"/>
      <c r="U378" s="175"/>
    </row>
    <row r="379">
      <c r="O379" s="175"/>
      <c r="U379" s="175"/>
    </row>
    <row r="380">
      <c r="O380" s="175"/>
      <c r="U380" s="175"/>
    </row>
    <row r="381">
      <c r="O381" s="175"/>
      <c r="U381" s="175"/>
    </row>
    <row r="382">
      <c r="O382" s="175"/>
      <c r="U382" s="175"/>
    </row>
    <row r="383">
      <c r="O383" s="175"/>
      <c r="U383" s="175"/>
    </row>
    <row r="384">
      <c r="O384" s="175"/>
      <c r="U384" s="175"/>
    </row>
    <row r="385">
      <c r="O385" s="175"/>
      <c r="U385" s="175"/>
    </row>
    <row r="386">
      <c r="O386" s="175"/>
      <c r="U386" s="175"/>
    </row>
    <row r="387">
      <c r="O387" s="175"/>
      <c r="U387" s="175"/>
    </row>
    <row r="388">
      <c r="O388" s="175"/>
      <c r="U388" s="175"/>
    </row>
    <row r="389">
      <c r="O389" s="175"/>
      <c r="U389" s="175"/>
    </row>
    <row r="390">
      <c r="O390" s="175"/>
      <c r="U390" s="175"/>
    </row>
    <row r="391">
      <c r="O391" s="175"/>
      <c r="U391" s="175"/>
    </row>
    <row r="392">
      <c r="O392" s="175"/>
      <c r="U392" s="175"/>
    </row>
    <row r="393">
      <c r="O393" s="175"/>
      <c r="U393" s="175"/>
    </row>
    <row r="394">
      <c r="O394" s="175"/>
      <c r="U394" s="175"/>
    </row>
    <row r="395">
      <c r="O395" s="175"/>
      <c r="U395" s="175"/>
    </row>
    <row r="396">
      <c r="O396" s="175"/>
      <c r="U396" s="175"/>
    </row>
    <row r="397">
      <c r="O397" s="175"/>
      <c r="U397" s="175"/>
    </row>
    <row r="398">
      <c r="O398" s="175"/>
      <c r="U398" s="175"/>
    </row>
    <row r="399">
      <c r="O399" s="175"/>
      <c r="U399" s="175"/>
    </row>
    <row r="400">
      <c r="O400" s="175"/>
      <c r="U400" s="175"/>
    </row>
    <row r="401">
      <c r="O401" s="175"/>
      <c r="U401" s="175"/>
    </row>
    <row r="402">
      <c r="O402" s="175"/>
      <c r="U402" s="175"/>
    </row>
    <row r="403">
      <c r="O403" s="175"/>
      <c r="U403" s="175"/>
    </row>
    <row r="404">
      <c r="O404" s="175"/>
      <c r="U404" s="175"/>
    </row>
    <row r="405">
      <c r="O405" s="175"/>
      <c r="U405" s="175"/>
    </row>
    <row r="406">
      <c r="O406" s="175"/>
      <c r="U406" s="175"/>
    </row>
    <row r="407">
      <c r="O407" s="175"/>
      <c r="U407" s="175"/>
    </row>
    <row r="408">
      <c r="O408" s="175"/>
      <c r="U408" s="175"/>
    </row>
    <row r="409">
      <c r="O409" s="175"/>
      <c r="U409" s="175"/>
    </row>
    <row r="410">
      <c r="O410" s="175"/>
      <c r="U410" s="175"/>
    </row>
    <row r="411">
      <c r="O411" s="175"/>
      <c r="U411" s="175"/>
    </row>
    <row r="412">
      <c r="O412" s="175"/>
      <c r="U412" s="175"/>
    </row>
    <row r="413">
      <c r="O413" s="175"/>
      <c r="U413" s="175"/>
    </row>
    <row r="414">
      <c r="O414" s="175"/>
      <c r="U414" s="175"/>
    </row>
    <row r="415">
      <c r="O415" s="175"/>
      <c r="U415" s="175"/>
    </row>
    <row r="416">
      <c r="O416" s="175"/>
      <c r="U416" s="175"/>
    </row>
    <row r="417">
      <c r="O417" s="175"/>
      <c r="U417" s="175"/>
    </row>
    <row r="418">
      <c r="O418" s="175"/>
      <c r="U418" s="175"/>
    </row>
    <row r="419">
      <c r="O419" s="175"/>
      <c r="U419" s="175"/>
    </row>
    <row r="420">
      <c r="O420" s="175"/>
      <c r="U420" s="175"/>
    </row>
    <row r="421">
      <c r="O421" s="175"/>
      <c r="U421" s="175"/>
    </row>
    <row r="422">
      <c r="O422" s="175"/>
      <c r="U422" s="175"/>
    </row>
    <row r="423">
      <c r="O423" s="175"/>
      <c r="U423" s="175"/>
    </row>
    <row r="424">
      <c r="O424" s="175"/>
      <c r="U424" s="175"/>
    </row>
    <row r="425">
      <c r="O425" s="175"/>
      <c r="U425" s="175"/>
    </row>
    <row r="426">
      <c r="O426" s="175"/>
      <c r="U426" s="175"/>
    </row>
    <row r="427">
      <c r="O427" s="175"/>
      <c r="U427" s="175"/>
    </row>
    <row r="428">
      <c r="O428" s="175"/>
      <c r="U428" s="175"/>
    </row>
    <row r="429">
      <c r="O429" s="175"/>
      <c r="U429" s="175"/>
    </row>
    <row r="430">
      <c r="O430" s="175"/>
      <c r="U430" s="175"/>
    </row>
    <row r="431">
      <c r="O431" s="175"/>
      <c r="U431" s="175"/>
    </row>
    <row r="432">
      <c r="O432" s="175"/>
      <c r="U432" s="175"/>
    </row>
    <row r="433">
      <c r="O433" s="175"/>
      <c r="U433" s="175"/>
    </row>
    <row r="434">
      <c r="O434" s="175"/>
      <c r="U434" s="175"/>
    </row>
    <row r="435">
      <c r="O435" s="175"/>
      <c r="U435" s="175"/>
    </row>
    <row r="436">
      <c r="O436" s="175"/>
      <c r="U436" s="175"/>
    </row>
    <row r="437">
      <c r="O437" s="175"/>
      <c r="U437" s="175"/>
    </row>
    <row r="438">
      <c r="O438" s="175"/>
      <c r="U438" s="175"/>
    </row>
    <row r="439">
      <c r="O439" s="175"/>
      <c r="U439" s="175"/>
    </row>
    <row r="440">
      <c r="O440" s="175"/>
      <c r="U440" s="175"/>
    </row>
    <row r="441">
      <c r="O441" s="175"/>
      <c r="U441" s="175"/>
    </row>
    <row r="442">
      <c r="O442" s="175"/>
      <c r="U442" s="175"/>
    </row>
    <row r="443">
      <c r="O443" s="175"/>
      <c r="U443" s="175"/>
    </row>
    <row r="444">
      <c r="O444" s="175"/>
      <c r="U444" s="175"/>
    </row>
    <row r="445">
      <c r="O445" s="175"/>
      <c r="U445" s="175"/>
    </row>
    <row r="446">
      <c r="O446" s="175"/>
      <c r="U446" s="175"/>
    </row>
    <row r="447">
      <c r="O447" s="175"/>
      <c r="U447" s="175"/>
    </row>
    <row r="448">
      <c r="O448" s="175"/>
      <c r="U448" s="175"/>
    </row>
    <row r="449">
      <c r="O449" s="175"/>
      <c r="U449" s="175"/>
    </row>
    <row r="450">
      <c r="O450" s="175"/>
      <c r="U450" s="175"/>
    </row>
    <row r="451">
      <c r="O451" s="175"/>
      <c r="U451" s="175"/>
    </row>
    <row r="452">
      <c r="O452" s="175"/>
      <c r="U452" s="175"/>
    </row>
    <row r="453">
      <c r="O453" s="175"/>
      <c r="U453" s="175"/>
    </row>
    <row r="454">
      <c r="O454" s="175"/>
      <c r="U454" s="175"/>
    </row>
    <row r="455">
      <c r="O455" s="175"/>
      <c r="U455" s="175"/>
    </row>
    <row r="456">
      <c r="O456" s="175"/>
      <c r="U456" s="175"/>
    </row>
    <row r="457">
      <c r="O457" s="175"/>
      <c r="U457" s="175"/>
    </row>
    <row r="458">
      <c r="O458" s="175"/>
      <c r="U458" s="175"/>
    </row>
    <row r="459">
      <c r="O459" s="175"/>
      <c r="U459" s="175"/>
    </row>
    <row r="460">
      <c r="O460" s="175"/>
      <c r="U460" s="175"/>
    </row>
    <row r="461">
      <c r="O461" s="175"/>
      <c r="U461" s="175"/>
    </row>
    <row r="462">
      <c r="O462" s="175"/>
      <c r="U462" s="175"/>
    </row>
    <row r="463">
      <c r="O463" s="175"/>
      <c r="U463" s="175"/>
    </row>
    <row r="464">
      <c r="O464" s="175"/>
      <c r="U464" s="175"/>
    </row>
    <row r="465">
      <c r="O465" s="175"/>
      <c r="U465" s="175"/>
    </row>
    <row r="466">
      <c r="O466" s="175"/>
      <c r="U466" s="175"/>
    </row>
    <row r="467">
      <c r="O467" s="175"/>
      <c r="U467" s="175"/>
    </row>
    <row r="468">
      <c r="O468" s="175"/>
      <c r="U468" s="175"/>
    </row>
    <row r="469">
      <c r="O469" s="175"/>
      <c r="U469" s="175"/>
    </row>
    <row r="470">
      <c r="O470" s="175"/>
      <c r="U470" s="175"/>
    </row>
    <row r="471">
      <c r="O471" s="175"/>
      <c r="U471" s="175"/>
    </row>
    <row r="472">
      <c r="O472" s="175"/>
      <c r="U472" s="175"/>
    </row>
    <row r="473">
      <c r="O473" s="175"/>
      <c r="U473" s="175"/>
    </row>
    <row r="474">
      <c r="O474" s="175"/>
      <c r="U474" s="175"/>
    </row>
    <row r="475">
      <c r="O475" s="175"/>
      <c r="U475" s="175"/>
    </row>
    <row r="476">
      <c r="O476" s="175"/>
      <c r="U476" s="175"/>
    </row>
    <row r="477">
      <c r="O477" s="175"/>
      <c r="U477" s="175"/>
    </row>
    <row r="478">
      <c r="O478" s="175"/>
      <c r="U478" s="175"/>
    </row>
    <row r="479">
      <c r="O479" s="175"/>
      <c r="U479" s="175"/>
    </row>
    <row r="480">
      <c r="O480" s="175"/>
      <c r="U480" s="175"/>
    </row>
    <row r="481">
      <c r="O481" s="175"/>
      <c r="U481" s="175"/>
    </row>
    <row r="482">
      <c r="O482" s="175"/>
      <c r="U482" s="175"/>
    </row>
    <row r="483">
      <c r="O483" s="175"/>
      <c r="U483" s="175"/>
    </row>
    <row r="484">
      <c r="O484" s="175"/>
      <c r="U484" s="175"/>
    </row>
    <row r="485">
      <c r="O485" s="175"/>
      <c r="U485" s="175"/>
    </row>
    <row r="486">
      <c r="O486" s="175"/>
      <c r="U486" s="175"/>
    </row>
    <row r="487">
      <c r="O487" s="175"/>
      <c r="U487" s="175"/>
    </row>
    <row r="488">
      <c r="O488" s="175"/>
      <c r="U488" s="175"/>
    </row>
    <row r="489">
      <c r="O489" s="175"/>
      <c r="U489" s="175"/>
    </row>
    <row r="490">
      <c r="O490" s="175"/>
      <c r="U490" s="175"/>
    </row>
    <row r="491">
      <c r="O491" s="175"/>
      <c r="U491" s="175"/>
    </row>
    <row r="492">
      <c r="O492" s="175"/>
      <c r="U492" s="175"/>
    </row>
    <row r="493">
      <c r="O493" s="175"/>
      <c r="U493" s="175"/>
    </row>
    <row r="494">
      <c r="O494" s="175"/>
      <c r="U494" s="175"/>
    </row>
    <row r="495">
      <c r="O495" s="175"/>
      <c r="U495" s="175"/>
    </row>
    <row r="496">
      <c r="O496" s="175"/>
      <c r="U496" s="175"/>
    </row>
    <row r="497">
      <c r="O497" s="175"/>
      <c r="U497" s="175"/>
    </row>
    <row r="498">
      <c r="O498" s="175"/>
      <c r="U498" s="175"/>
    </row>
    <row r="499">
      <c r="O499" s="175"/>
      <c r="U499" s="175"/>
    </row>
    <row r="500">
      <c r="O500" s="175"/>
      <c r="U500" s="175"/>
    </row>
    <row r="501">
      <c r="O501" s="175"/>
      <c r="U501" s="175"/>
    </row>
    <row r="502">
      <c r="O502" s="175"/>
      <c r="U502" s="175"/>
    </row>
    <row r="503">
      <c r="O503" s="175"/>
      <c r="U503" s="175"/>
    </row>
    <row r="504">
      <c r="O504" s="175"/>
      <c r="U504" s="175"/>
    </row>
    <row r="505">
      <c r="O505" s="175"/>
      <c r="U505" s="175"/>
    </row>
    <row r="506">
      <c r="O506" s="175"/>
      <c r="U506" s="175"/>
    </row>
    <row r="507">
      <c r="O507" s="175"/>
      <c r="U507" s="175"/>
    </row>
    <row r="508">
      <c r="O508" s="175"/>
      <c r="U508" s="175"/>
    </row>
    <row r="509">
      <c r="O509" s="175"/>
      <c r="U509" s="175"/>
    </row>
    <row r="510">
      <c r="O510" s="175"/>
      <c r="U510" s="175"/>
    </row>
    <row r="511">
      <c r="O511" s="175"/>
      <c r="U511" s="175"/>
    </row>
    <row r="512">
      <c r="O512" s="175"/>
      <c r="U512" s="175"/>
    </row>
    <row r="513">
      <c r="O513" s="175"/>
      <c r="U513" s="175"/>
    </row>
    <row r="514">
      <c r="O514" s="175"/>
      <c r="U514" s="175"/>
    </row>
    <row r="515">
      <c r="O515" s="175"/>
      <c r="U515" s="175"/>
    </row>
    <row r="516">
      <c r="O516" s="175"/>
      <c r="U516" s="175"/>
    </row>
    <row r="517">
      <c r="O517" s="175"/>
      <c r="U517" s="175"/>
    </row>
    <row r="518">
      <c r="O518" s="175"/>
      <c r="U518" s="175"/>
    </row>
    <row r="519">
      <c r="O519" s="175"/>
      <c r="U519" s="175"/>
    </row>
    <row r="520">
      <c r="O520" s="175"/>
      <c r="U520" s="175"/>
    </row>
    <row r="521">
      <c r="O521" s="175"/>
      <c r="U521" s="175"/>
    </row>
    <row r="522">
      <c r="O522" s="175"/>
      <c r="U522" s="175"/>
    </row>
    <row r="523">
      <c r="O523" s="175"/>
      <c r="U523" s="175"/>
    </row>
    <row r="524">
      <c r="O524" s="175"/>
      <c r="U524" s="175"/>
    </row>
    <row r="525">
      <c r="O525" s="175"/>
      <c r="U525" s="175"/>
    </row>
    <row r="526">
      <c r="O526" s="175"/>
      <c r="U526" s="175"/>
    </row>
    <row r="527">
      <c r="O527" s="175"/>
      <c r="U527" s="175"/>
    </row>
    <row r="528">
      <c r="O528" s="175"/>
      <c r="U528" s="175"/>
    </row>
    <row r="529">
      <c r="O529" s="175"/>
      <c r="U529" s="175"/>
    </row>
    <row r="530">
      <c r="O530" s="175"/>
      <c r="U530" s="175"/>
    </row>
    <row r="531">
      <c r="O531" s="175"/>
      <c r="U531" s="175"/>
    </row>
    <row r="532">
      <c r="O532" s="175"/>
      <c r="U532" s="175"/>
    </row>
    <row r="533">
      <c r="O533" s="175"/>
      <c r="U533" s="175"/>
    </row>
    <row r="534">
      <c r="O534" s="175"/>
      <c r="U534" s="175"/>
    </row>
    <row r="535">
      <c r="O535" s="175"/>
      <c r="U535" s="175"/>
    </row>
    <row r="536">
      <c r="O536" s="175"/>
      <c r="U536" s="175"/>
    </row>
    <row r="537">
      <c r="O537" s="175"/>
      <c r="U537" s="175"/>
    </row>
    <row r="538">
      <c r="O538" s="175"/>
      <c r="U538" s="175"/>
    </row>
    <row r="539">
      <c r="O539" s="175"/>
      <c r="U539" s="175"/>
    </row>
    <row r="540">
      <c r="O540" s="175"/>
      <c r="U540" s="175"/>
    </row>
    <row r="541">
      <c r="O541" s="175"/>
      <c r="U541" s="175"/>
    </row>
    <row r="542">
      <c r="O542" s="175"/>
      <c r="U542" s="175"/>
    </row>
    <row r="543">
      <c r="O543" s="175"/>
      <c r="U543" s="175"/>
    </row>
    <row r="544">
      <c r="O544" s="175"/>
      <c r="U544" s="175"/>
    </row>
    <row r="545">
      <c r="O545" s="175"/>
      <c r="U545" s="175"/>
    </row>
    <row r="546">
      <c r="O546" s="175"/>
      <c r="U546" s="175"/>
    </row>
    <row r="547">
      <c r="O547" s="175"/>
      <c r="U547" s="175"/>
    </row>
    <row r="548">
      <c r="O548" s="175"/>
      <c r="U548" s="175"/>
    </row>
    <row r="549">
      <c r="O549" s="175"/>
      <c r="U549" s="175"/>
    </row>
    <row r="550">
      <c r="O550" s="175"/>
      <c r="U550" s="175"/>
    </row>
    <row r="551">
      <c r="O551" s="175"/>
      <c r="U551" s="175"/>
    </row>
    <row r="552">
      <c r="O552" s="175"/>
      <c r="U552" s="175"/>
    </row>
    <row r="553">
      <c r="O553" s="175"/>
      <c r="U553" s="175"/>
    </row>
    <row r="554">
      <c r="O554" s="175"/>
      <c r="U554" s="175"/>
    </row>
    <row r="555">
      <c r="O555" s="175"/>
      <c r="U555" s="175"/>
    </row>
    <row r="556">
      <c r="O556" s="175"/>
      <c r="U556" s="175"/>
    </row>
    <row r="557">
      <c r="O557" s="175"/>
      <c r="U557" s="175"/>
    </row>
    <row r="558">
      <c r="O558" s="175"/>
      <c r="U558" s="175"/>
    </row>
    <row r="559">
      <c r="O559" s="175"/>
      <c r="U559" s="175"/>
    </row>
    <row r="560">
      <c r="O560" s="175"/>
      <c r="U560" s="175"/>
    </row>
    <row r="561">
      <c r="O561" s="175"/>
      <c r="U561" s="175"/>
    </row>
    <row r="562">
      <c r="O562" s="175"/>
      <c r="U562" s="175"/>
    </row>
    <row r="563">
      <c r="O563" s="175"/>
      <c r="U563" s="175"/>
    </row>
    <row r="564">
      <c r="O564" s="175"/>
      <c r="U564" s="175"/>
    </row>
    <row r="565">
      <c r="O565" s="175"/>
      <c r="U565" s="175"/>
    </row>
    <row r="566">
      <c r="O566" s="175"/>
      <c r="U566" s="175"/>
    </row>
    <row r="567">
      <c r="O567" s="175"/>
      <c r="U567" s="175"/>
    </row>
    <row r="568">
      <c r="O568" s="175"/>
      <c r="U568" s="175"/>
    </row>
    <row r="569">
      <c r="O569" s="175"/>
      <c r="U569" s="175"/>
    </row>
    <row r="570">
      <c r="O570" s="175"/>
      <c r="U570" s="175"/>
    </row>
    <row r="571">
      <c r="O571" s="175"/>
      <c r="U571" s="175"/>
    </row>
    <row r="572">
      <c r="O572" s="175"/>
      <c r="U572" s="175"/>
    </row>
    <row r="573">
      <c r="O573" s="175"/>
      <c r="U573" s="175"/>
    </row>
    <row r="574">
      <c r="O574" s="175"/>
      <c r="U574" s="175"/>
    </row>
    <row r="575">
      <c r="O575" s="175"/>
      <c r="U575" s="175"/>
    </row>
    <row r="576">
      <c r="O576" s="175"/>
      <c r="U576" s="175"/>
    </row>
    <row r="577">
      <c r="O577" s="175"/>
      <c r="U577" s="175"/>
    </row>
    <row r="578">
      <c r="O578" s="175"/>
      <c r="U578" s="175"/>
    </row>
    <row r="579">
      <c r="O579" s="175"/>
      <c r="U579" s="175"/>
    </row>
    <row r="580">
      <c r="O580" s="175"/>
      <c r="U580" s="175"/>
    </row>
    <row r="581">
      <c r="O581" s="175"/>
      <c r="U581" s="175"/>
    </row>
    <row r="582">
      <c r="O582" s="175"/>
      <c r="U582" s="175"/>
    </row>
    <row r="583">
      <c r="O583" s="175"/>
      <c r="U583" s="175"/>
    </row>
    <row r="584">
      <c r="O584" s="175"/>
      <c r="U584" s="175"/>
    </row>
    <row r="585">
      <c r="O585" s="175"/>
      <c r="U585" s="175"/>
    </row>
    <row r="586">
      <c r="O586" s="175"/>
      <c r="U586" s="175"/>
    </row>
    <row r="587">
      <c r="O587" s="175"/>
      <c r="U587" s="175"/>
    </row>
    <row r="588">
      <c r="O588" s="175"/>
      <c r="U588" s="175"/>
    </row>
    <row r="589">
      <c r="O589" s="175"/>
      <c r="U589" s="175"/>
    </row>
    <row r="590">
      <c r="O590" s="175"/>
      <c r="U590" s="175"/>
    </row>
    <row r="591">
      <c r="O591" s="175"/>
      <c r="U591" s="175"/>
    </row>
    <row r="592">
      <c r="O592" s="175"/>
      <c r="U592" s="175"/>
    </row>
    <row r="593">
      <c r="O593" s="175"/>
      <c r="U593" s="175"/>
    </row>
    <row r="594">
      <c r="O594" s="175"/>
      <c r="U594" s="175"/>
    </row>
    <row r="595">
      <c r="O595" s="175"/>
      <c r="U595" s="175"/>
    </row>
    <row r="596">
      <c r="O596" s="175"/>
      <c r="U596" s="175"/>
    </row>
    <row r="597">
      <c r="O597" s="175"/>
      <c r="U597" s="175"/>
    </row>
    <row r="598">
      <c r="O598" s="175"/>
      <c r="U598" s="175"/>
    </row>
    <row r="599">
      <c r="O599" s="175"/>
      <c r="U599" s="175"/>
    </row>
    <row r="600">
      <c r="O600" s="175"/>
      <c r="U600" s="175"/>
    </row>
    <row r="601">
      <c r="O601" s="175"/>
      <c r="U601" s="175"/>
    </row>
    <row r="602">
      <c r="O602" s="175"/>
      <c r="U602" s="175"/>
    </row>
    <row r="603">
      <c r="O603" s="175"/>
      <c r="U603" s="175"/>
    </row>
    <row r="604">
      <c r="O604" s="175"/>
      <c r="U604" s="175"/>
    </row>
    <row r="605">
      <c r="O605" s="175"/>
      <c r="U605" s="175"/>
    </row>
    <row r="606">
      <c r="O606" s="175"/>
      <c r="U606" s="175"/>
    </row>
    <row r="607">
      <c r="O607" s="175"/>
      <c r="U607" s="175"/>
    </row>
    <row r="608">
      <c r="O608" s="175"/>
      <c r="U608" s="175"/>
    </row>
    <row r="609">
      <c r="O609" s="175"/>
      <c r="U609" s="175"/>
    </row>
    <row r="610">
      <c r="O610" s="175"/>
      <c r="U610" s="175"/>
    </row>
    <row r="611">
      <c r="O611" s="175"/>
      <c r="U611" s="175"/>
    </row>
    <row r="612">
      <c r="O612" s="175"/>
      <c r="U612" s="175"/>
    </row>
    <row r="613">
      <c r="O613" s="175"/>
      <c r="U613" s="175"/>
    </row>
    <row r="614">
      <c r="O614" s="175"/>
      <c r="U614" s="175"/>
    </row>
    <row r="615">
      <c r="O615" s="175"/>
      <c r="U615" s="175"/>
    </row>
    <row r="616">
      <c r="O616" s="175"/>
      <c r="U616" s="175"/>
    </row>
    <row r="617">
      <c r="O617" s="175"/>
      <c r="U617" s="175"/>
    </row>
    <row r="618">
      <c r="O618" s="175"/>
      <c r="U618" s="175"/>
    </row>
    <row r="619">
      <c r="O619" s="175"/>
      <c r="U619" s="175"/>
    </row>
    <row r="620">
      <c r="O620" s="175"/>
      <c r="U620" s="175"/>
    </row>
    <row r="621">
      <c r="O621" s="175"/>
      <c r="U621" s="175"/>
    </row>
    <row r="622">
      <c r="O622" s="175"/>
      <c r="U622" s="175"/>
    </row>
    <row r="623">
      <c r="O623" s="175"/>
      <c r="U623" s="175"/>
    </row>
    <row r="624">
      <c r="O624" s="175"/>
      <c r="U624" s="175"/>
    </row>
    <row r="625">
      <c r="O625" s="175"/>
      <c r="U625" s="175"/>
    </row>
    <row r="626">
      <c r="O626" s="175"/>
      <c r="U626" s="175"/>
    </row>
    <row r="627">
      <c r="O627" s="175"/>
      <c r="U627" s="175"/>
    </row>
    <row r="628">
      <c r="O628" s="175"/>
      <c r="U628" s="175"/>
    </row>
    <row r="629">
      <c r="O629" s="175"/>
      <c r="U629" s="175"/>
    </row>
    <row r="630">
      <c r="O630" s="175"/>
      <c r="U630" s="175"/>
    </row>
    <row r="631">
      <c r="O631" s="175"/>
      <c r="U631" s="175"/>
    </row>
    <row r="632">
      <c r="O632" s="175"/>
      <c r="U632" s="175"/>
    </row>
    <row r="633">
      <c r="O633" s="175"/>
      <c r="U633" s="175"/>
    </row>
    <row r="634">
      <c r="O634" s="175"/>
      <c r="U634" s="175"/>
    </row>
    <row r="635">
      <c r="O635" s="175"/>
      <c r="U635" s="175"/>
    </row>
    <row r="636">
      <c r="O636" s="175"/>
      <c r="U636" s="175"/>
    </row>
    <row r="637">
      <c r="O637" s="175"/>
      <c r="U637" s="175"/>
    </row>
    <row r="638">
      <c r="O638" s="175"/>
      <c r="U638" s="175"/>
    </row>
    <row r="639">
      <c r="O639" s="175"/>
      <c r="U639" s="175"/>
    </row>
    <row r="640">
      <c r="O640" s="175"/>
      <c r="U640" s="175"/>
    </row>
    <row r="641">
      <c r="O641" s="175"/>
      <c r="U641" s="175"/>
    </row>
    <row r="642">
      <c r="O642" s="175"/>
      <c r="U642" s="175"/>
    </row>
    <row r="643">
      <c r="O643" s="175"/>
      <c r="U643" s="175"/>
    </row>
    <row r="644">
      <c r="O644" s="175"/>
      <c r="U644" s="175"/>
    </row>
    <row r="645">
      <c r="O645" s="175"/>
      <c r="U645" s="175"/>
    </row>
    <row r="646">
      <c r="O646" s="175"/>
      <c r="U646" s="175"/>
    </row>
    <row r="647">
      <c r="O647" s="175"/>
      <c r="U647" s="175"/>
    </row>
    <row r="648">
      <c r="O648" s="175"/>
      <c r="U648" s="175"/>
    </row>
    <row r="649">
      <c r="O649" s="175"/>
      <c r="U649" s="175"/>
    </row>
    <row r="650">
      <c r="O650" s="175"/>
      <c r="U650" s="175"/>
    </row>
    <row r="651">
      <c r="O651" s="175"/>
      <c r="U651" s="175"/>
    </row>
    <row r="652">
      <c r="O652" s="175"/>
      <c r="U652" s="175"/>
    </row>
    <row r="653">
      <c r="O653" s="175"/>
      <c r="U653" s="175"/>
    </row>
    <row r="654">
      <c r="O654" s="175"/>
      <c r="U654" s="175"/>
    </row>
    <row r="655">
      <c r="O655" s="175"/>
      <c r="U655" s="175"/>
    </row>
    <row r="656">
      <c r="O656" s="175"/>
      <c r="U656" s="175"/>
    </row>
    <row r="657">
      <c r="O657" s="175"/>
      <c r="U657" s="175"/>
    </row>
    <row r="658">
      <c r="O658" s="175"/>
      <c r="U658" s="175"/>
    </row>
    <row r="659">
      <c r="O659" s="175"/>
      <c r="U659" s="175"/>
    </row>
    <row r="660">
      <c r="O660" s="175"/>
      <c r="U660" s="175"/>
    </row>
    <row r="661">
      <c r="O661" s="175"/>
      <c r="U661" s="175"/>
    </row>
    <row r="662">
      <c r="O662" s="175"/>
      <c r="U662" s="175"/>
    </row>
    <row r="663">
      <c r="O663" s="175"/>
      <c r="U663" s="175"/>
    </row>
    <row r="664">
      <c r="O664" s="175"/>
      <c r="U664" s="175"/>
    </row>
    <row r="665">
      <c r="O665" s="175"/>
      <c r="U665" s="175"/>
    </row>
    <row r="666">
      <c r="O666" s="175"/>
      <c r="U666" s="175"/>
    </row>
    <row r="667">
      <c r="O667" s="175"/>
      <c r="U667" s="175"/>
    </row>
    <row r="668">
      <c r="O668" s="175"/>
      <c r="U668" s="175"/>
    </row>
    <row r="669">
      <c r="O669" s="175"/>
      <c r="U669" s="175"/>
    </row>
    <row r="670">
      <c r="O670" s="175"/>
      <c r="U670" s="175"/>
    </row>
    <row r="671">
      <c r="O671" s="175"/>
      <c r="U671" s="175"/>
    </row>
    <row r="672">
      <c r="O672" s="175"/>
      <c r="U672" s="175"/>
    </row>
    <row r="673">
      <c r="O673" s="175"/>
      <c r="U673" s="175"/>
    </row>
    <row r="674">
      <c r="O674" s="175"/>
      <c r="U674" s="175"/>
    </row>
    <row r="675">
      <c r="O675" s="175"/>
      <c r="U675" s="175"/>
    </row>
    <row r="676">
      <c r="O676" s="175"/>
      <c r="U676" s="175"/>
    </row>
    <row r="677">
      <c r="O677" s="175"/>
      <c r="U677" s="175"/>
    </row>
    <row r="678">
      <c r="O678" s="175"/>
      <c r="U678" s="175"/>
    </row>
    <row r="679">
      <c r="O679" s="175"/>
      <c r="U679" s="175"/>
    </row>
    <row r="680">
      <c r="O680" s="175"/>
      <c r="U680" s="175"/>
    </row>
    <row r="681">
      <c r="O681" s="175"/>
      <c r="U681" s="175"/>
    </row>
    <row r="682">
      <c r="O682" s="175"/>
      <c r="U682" s="175"/>
    </row>
    <row r="683">
      <c r="O683" s="175"/>
      <c r="U683" s="175"/>
    </row>
    <row r="684">
      <c r="O684" s="175"/>
      <c r="U684" s="175"/>
    </row>
    <row r="685">
      <c r="O685" s="175"/>
      <c r="U685" s="175"/>
    </row>
    <row r="686">
      <c r="O686" s="175"/>
      <c r="U686" s="175"/>
    </row>
    <row r="687">
      <c r="O687" s="175"/>
      <c r="U687" s="175"/>
    </row>
    <row r="688">
      <c r="O688" s="175"/>
      <c r="U688" s="175"/>
    </row>
    <row r="689">
      <c r="O689" s="175"/>
      <c r="U689" s="175"/>
    </row>
    <row r="690">
      <c r="O690" s="175"/>
      <c r="U690" s="175"/>
    </row>
    <row r="691">
      <c r="O691" s="175"/>
      <c r="U691" s="175"/>
    </row>
    <row r="692">
      <c r="O692" s="175"/>
      <c r="U692" s="175"/>
    </row>
    <row r="693">
      <c r="O693" s="175"/>
      <c r="U693" s="175"/>
    </row>
    <row r="694">
      <c r="O694" s="175"/>
      <c r="U694" s="175"/>
    </row>
    <row r="695">
      <c r="O695" s="175"/>
      <c r="U695" s="175"/>
    </row>
    <row r="696">
      <c r="O696" s="175"/>
      <c r="U696" s="175"/>
    </row>
    <row r="697">
      <c r="O697" s="175"/>
      <c r="U697" s="175"/>
    </row>
    <row r="698">
      <c r="O698" s="175"/>
      <c r="U698" s="175"/>
    </row>
    <row r="699">
      <c r="O699" s="175"/>
      <c r="U699" s="175"/>
    </row>
    <row r="700">
      <c r="O700" s="175"/>
      <c r="U700" s="175"/>
    </row>
    <row r="701">
      <c r="O701" s="175"/>
      <c r="U701" s="175"/>
    </row>
    <row r="702">
      <c r="O702" s="175"/>
      <c r="U702" s="175"/>
    </row>
    <row r="703">
      <c r="O703" s="175"/>
      <c r="U703" s="175"/>
    </row>
    <row r="704">
      <c r="O704" s="175"/>
      <c r="U704" s="175"/>
    </row>
    <row r="705">
      <c r="O705" s="175"/>
      <c r="U705" s="175"/>
    </row>
    <row r="706">
      <c r="O706" s="175"/>
      <c r="U706" s="175"/>
    </row>
    <row r="707">
      <c r="O707" s="175"/>
      <c r="U707" s="175"/>
    </row>
    <row r="708">
      <c r="O708" s="175"/>
      <c r="U708" s="175"/>
    </row>
    <row r="709">
      <c r="O709" s="175"/>
      <c r="U709" s="175"/>
    </row>
    <row r="710">
      <c r="O710" s="175"/>
      <c r="U710" s="175"/>
    </row>
    <row r="711">
      <c r="O711" s="175"/>
      <c r="U711" s="175"/>
    </row>
    <row r="712">
      <c r="O712" s="175"/>
      <c r="U712" s="175"/>
    </row>
    <row r="713">
      <c r="O713" s="175"/>
      <c r="U713" s="175"/>
    </row>
    <row r="714">
      <c r="O714" s="175"/>
      <c r="U714" s="175"/>
    </row>
    <row r="715">
      <c r="O715" s="175"/>
      <c r="U715" s="175"/>
    </row>
    <row r="716">
      <c r="O716" s="175"/>
      <c r="U716" s="175"/>
    </row>
    <row r="717">
      <c r="O717" s="175"/>
      <c r="U717" s="175"/>
    </row>
    <row r="718">
      <c r="O718" s="175"/>
      <c r="U718" s="175"/>
    </row>
    <row r="719">
      <c r="O719" s="175"/>
      <c r="U719" s="175"/>
    </row>
    <row r="720">
      <c r="O720" s="175"/>
      <c r="U720" s="175"/>
    </row>
    <row r="721">
      <c r="O721" s="175"/>
      <c r="U721" s="175"/>
    </row>
    <row r="722">
      <c r="O722" s="175"/>
      <c r="U722" s="175"/>
    </row>
    <row r="723">
      <c r="O723" s="175"/>
      <c r="U723" s="175"/>
    </row>
    <row r="724">
      <c r="O724" s="175"/>
      <c r="U724" s="175"/>
    </row>
    <row r="725">
      <c r="O725" s="175"/>
      <c r="U725" s="175"/>
    </row>
    <row r="726">
      <c r="O726" s="175"/>
      <c r="U726" s="175"/>
    </row>
    <row r="727">
      <c r="O727" s="175"/>
      <c r="U727" s="175"/>
    </row>
    <row r="728">
      <c r="O728" s="175"/>
      <c r="U728" s="175"/>
    </row>
    <row r="729">
      <c r="O729" s="175"/>
      <c r="U729" s="175"/>
    </row>
    <row r="730">
      <c r="O730" s="175"/>
      <c r="U730" s="175"/>
    </row>
    <row r="731">
      <c r="O731" s="175"/>
      <c r="U731" s="175"/>
    </row>
    <row r="732">
      <c r="O732" s="175"/>
      <c r="U732" s="175"/>
    </row>
    <row r="733">
      <c r="O733" s="175"/>
      <c r="U733" s="175"/>
    </row>
    <row r="734">
      <c r="O734" s="175"/>
      <c r="U734" s="175"/>
    </row>
    <row r="735">
      <c r="O735" s="175"/>
      <c r="U735" s="175"/>
    </row>
    <row r="736">
      <c r="O736" s="175"/>
      <c r="U736" s="175"/>
    </row>
    <row r="737">
      <c r="O737" s="175"/>
      <c r="U737" s="175"/>
    </row>
    <row r="738">
      <c r="O738" s="175"/>
      <c r="U738" s="175"/>
    </row>
    <row r="739">
      <c r="O739" s="175"/>
      <c r="U739" s="175"/>
    </row>
    <row r="740">
      <c r="O740" s="175"/>
      <c r="U740" s="175"/>
    </row>
    <row r="741">
      <c r="O741" s="175"/>
      <c r="U741" s="175"/>
    </row>
    <row r="742">
      <c r="O742" s="175"/>
      <c r="U742" s="175"/>
    </row>
    <row r="743">
      <c r="O743" s="175"/>
      <c r="U743" s="175"/>
    </row>
    <row r="744">
      <c r="O744" s="175"/>
      <c r="U744" s="175"/>
    </row>
    <row r="745">
      <c r="O745" s="175"/>
      <c r="U745" s="175"/>
    </row>
    <row r="746">
      <c r="O746" s="175"/>
      <c r="U746" s="175"/>
    </row>
    <row r="747">
      <c r="O747" s="175"/>
      <c r="U747" s="175"/>
    </row>
    <row r="748">
      <c r="O748" s="175"/>
      <c r="U748" s="175"/>
    </row>
    <row r="749">
      <c r="O749" s="175"/>
      <c r="U749" s="175"/>
    </row>
    <row r="750">
      <c r="O750" s="175"/>
      <c r="U750" s="175"/>
    </row>
    <row r="751">
      <c r="O751" s="175"/>
      <c r="U751" s="175"/>
    </row>
    <row r="752">
      <c r="O752" s="175"/>
      <c r="U752" s="175"/>
    </row>
    <row r="753">
      <c r="O753" s="175"/>
      <c r="U753" s="175"/>
    </row>
    <row r="754">
      <c r="O754" s="175"/>
      <c r="U754" s="175"/>
    </row>
    <row r="755">
      <c r="O755" s="175"/>
      <c r="U755" s="175"/>
    </row>
    <row r="756">
      <c r="O756" s="175"/>
      <c r="U756" s="175"/>
    </row>
    <row r="757">
      <c r="O757" s="175"/>
      <c r="U757" s="175"/>
    </row>
    <row r="758">
      <c r="O758" s="175"/>
      <c r="U758" s="175"/>
    </row>
    <row r="759">
      <c r="O759" s="175"/>
      <c r="U759" s="175"/>
    </row>
    <row r="760">
      <c r="O760" s="175"/>
      <c r="U760" s="175"/>
    </row>
    <row r="761">
      <c r="O761" s="175"/>
      <c r="U761" s="175"/>
    </row>
    <row r="762">
      <c r="O762" s="175"/>
      <c r="U762" s="175"/>
    </row>
    <row r="763">
      <c r="O763" s="175"/>
      <c r="U763" s="175"/>
    </row>
    <row r="764">
      <c r="O764" s="175"/>
      <c r="U764" s="175"/>
    </row>
    <row r="765">
      <c r="O765" s="175"/>
      <c r="U765" s="175"/>
    </row>
    <row r="766">
      <c r="O766" s="175"/>
      <c r="U766" s="175"/>
    </row>
    <row r="767">
      <c r="O767" s="175"/>
      <c r="U767" s="175"/>
    </row>
    <row r="768">
      <c r="O768" s="175"/>
      <c r="U768" s="175"/>
    </row>
    <row r="769">
      <c r="O769" s="175"/>
      <c r="U769" s="175"/>
    </row>
    <row r="770">
      <c r="O770" s="175"/>
      <c r="U770" s="175"/>
    </row>
    <row r="771">
      <c r="O771" s="175"/>
      <c r="U771" s="175"/>
    </row>
    <row r="772">
      <c r="O772" s="175"/>
      <c r="U772" s="175"/>
    </row>
    <row r="773">
      <c r="O773" s="175"/>
      <c r="U773" s="175"/>
    </row>
    <row r="774">
      <c r="O774" s="175"/>
      <c r="U774" s="175"/>
    </row>
    <row r="775">
      <c r="O775" s="175"/>
      <c r="U775" s="175"/>
    </row>
    <row r="776">
      <c r="O776" s="175"/>
      <c r="U776" s="175"/>
    </row>
    <row r="777">
      <c r="O777" s="175"/>
      <c r="U777" s="175"/>
    </row>
    <row r="778">
      <c r="O778" s="175"/>
      <c r="U778" s="175"/>
    </row>
    <row r="779">
      <c r="O779" s="175"/>
      <c r="U779" s="175"/>
    </row>
    <row r="780">
      <c r="O780" s="175"/>
      <c r="U780" s="175"/>
    </row>
    <row r="781">
      <c r="O781" s="175"/>
      <c r="U781" s="175"/>
    </row>
    <row r="782">
      <c r="O782" s="175"/>
      <c r="U782" s="175"/>
    </row>
    <row r="783">
      <c r="O783" s="175"/>
      <c r="U783" s="175"/>
    </row>
    <row r="784">
      <c r="O784" s="175"/>
      <c r="U784" s="175"/>
    </row>
    <row r="785">
      <c r="O785" s="175"/>
      <c r="U785" s="175"/>
    </row>
    <row r="786">
      <c r="O786" s="175"/>
      <c r="U786" s="175"/>
    </row>
    <row r="787">
      <c r="O787" s="175"/>
      <c r="U787" s="175"/>
    </row>
    <row r="788">
      <c r="O788" s="175"/>
      <c r="U788" s="175"/>
    </row>
    <row r="789">
      <c r="O789" s="175"/>
      <c r="U789" s="175"/>
    </row>
    <row r="790">
      <c r="O790" s="175"/>
      <c r="U790" s="175"/>
    </row>
    <row r="791">
      <c r="O791" s="175"/>
      <c r="U791" s="175"/>
    </row>
    <row r="792">
      <c r="O792" s="175"/>
      <c r="U792" s="175"/>
    </row>
    <row r="793">
      <c r="O793" s="175"/>
      <c r="U793" s="175"/>
    </row>
    <row r="794">
      <c r="O794" s="175"/>
      <c r="U794" s="175"/>
    </row>
    <row r="795">
      <c r="O795" s="175"/>
      <c r="U795" s="175"/>
    </row>
    <row r="796">
      <c r="O796" s="175"/>
      <c r="U796" s="175"/>
    </row>
    <row r="797">
      <c r="O797" s="175"/>
      <c r="U797" s="175"/>
    </row>
    <row r="798">
      <c r="O798" s="175"/>
      <c r="U798" s="175"/>
    </row>
    <row r="799">
      <c r="O799" s="175"/>
      <c r="U799" s="175"/>
    </row>
    <row r="800">
      <c r="O800" s="175"/>
      <c r="U800" s="175"/>
    </row>
    <row r="801">
      <c r="O801" s="175"/>
      <c r="U801" s="175"/>
    </row>
    <row r="802">
      <c r="O802" s="175"/>
      <c r="U802" s="175"/>
    </row>
    <row r="803">
      <c r="O803" s="175"/>
      <c r="U803" s="175"/>
    </row>
    <row r="804">
      <c r="O804" s="175"/>
      <c r="U804" s="175"/>
    </row>
    <row r="805">
      <c r="O805" s="175"/>
      <c r="U805" s="175"/>
    </row>
    <row r="806">
      <c r="O806" s="175"/>
      <c r="U806" s="175"/>
    </row>
    <row r="807">
      <c r="O807" s="175"/>
      <c r="U807" s="175"/>
    </row>
    <row r="808">
      <c r="O808" s="175"/>
      <c r="U808" s="175"/>
    </row>
    <row r="809">
      <c r="O809" s="175"/>
      <c r="U809" s="175"/>
    </row>
    <row r="810">
      <c r="O810" s="175"/>
      <c r="U810" s="175"/>
    </row>
    <row r="811">
      <c r="O811" s="175"/>
      <c r="U811" s="175"/>
    </row>
    <row r="812">
      <c r="O812" s="175"/>
      <c r="U812" s="175"/>
    </row>
    <row r="813">
      <c r="O813" s="175"/>
      <c r="U813" s="175"/>
    </row>
    <row r="814">
      <c r="O814" s="175"/>
      <c r="U814" s="175"/>
    </row>
    <row r="815">
      <c r="O815" s="175"/>
      <c r="U815" s="175"/>
    </row>
    <row r="816">
      <c r="O816" s="175"/>
      <c r="U816" s="175"/>
    </row>
    <row r="817">
      <c r="O817" s="175"/>
      <c r="U817" s="175"/>
    </row>
    <row r="818">
      <c r="O818" s="175"/>
      <c r="U818" s="175"/>
    </row>
    <row r="819">
      <c r="O819" s="175"/>
      <c r="U819" s="175"/>
    </row>
    <row r="820">
      <c r="O820" s="175"/>
      <c r="U820" s="175"/>
    </row>
    <row r="821">
      <c r="O821" s="175"/>
      <c r="U821" s="175"/>
    </row>
    <row r="822">
      <c r="O822" s="175"/>
      <c r="U822" s="175"/>
    </row>
    <row r="823">
      <c r="O823" s="175"/>
      <c r="U823" s="175"/>
    </row>
    <row r="824">
      <c r="O824" s="175"/>
      <c r="U824" s="175"/>
    </row>
    <row r="825">
      <c r="O825" s="175"/>
      <c r="U825" s="175"/>
    </row>
    <row r="826">
      <c r="O826" s="175"/>
      <c r="U826" s="175"/>
    </row>
    <row r="827">
      <c r="O827" s="175"/>
      <c r="U827" s="175"/>
    </row>
    <row r="828">
      <c r="O828" s="175"/>
      <c r="U828" s="175"/>
    </row>
    <row r="829">
      <c r="O829" s="175"/>
      <c r="U829" s="175"/>
    </row>
    <row r="830">
      <c r="O830" s="175"/>
      <c r="U830" s="175"/>
    </row>
    <row r="831">
      <c r="O831" s="175"/>
      <c r="U831" s="175"/>
    </row>
    <row r="832">
      <c r="O832" s="175"/>
      <c r="U832" s="175"/>
    </row>
    <row r="833">
      <c r="O833" s="175"/>
      <c r="U833" s="175"/>
    </row>
    <row r="834">
      <c r="O834" s="175"/>
      <c r="U834" s="175"/>
    </row>
    <row r="835">
      <c r="O835" s="175"/>
      <c r="U835" s="175"/>
    </row>
    <row r="836">
      <c r="O836" s="175"/>
      <c r="U836" s="175"/>
    </row>
    <row r="837">
      <c r="O837" s="175"/>
      <c r="U837" s="175"/>
    </row>
    <row r="838">
      <c r="O838" s="175"/>
      <c r="U838" s="175"/>
    </row>
    <row r="839">
      <c r="O839" s="175"/>
      <c r="U839" s="175"/>
    </row>
    <row r="840">
      <c r="O840" s="175"/>
      <c r="U840" s="175"/>
    </row>
    <row r="841">
      <c r="O841" s="175"/>
      <c r="U841" s="175"/>
    </row>
    <row r="842">
      <c r="O842" s="175"/>
      <c r="U842" s="175"/>
    </row>
    <row r="843">
      <c r="O843" s="175"/>
      <c r="U843" s="175"/>
    </row>
    <row r="844">
      <c r="O844" s="175"/>
      <c r="U844" s="175"/>
    </row>
    <row r="845">
      <c r="O845" s="175"/>
      <c r="U845" s="175"/>
    </row>
    <row r="846">
      <c r="O846" s="175"/>
      <c r="U846" s="175"/>
    </row>
    <row r="847">
      <c r="O847" s="175"/>
      <c r="U847" s="175"/>
    </row>
    <row r="848">
      <c r="O848" s="175"/>
      <c r="U848" s="175"/>
    </row>
    <row r="849">
      <c r="O849" s="175"/>
      <c r="U849" s="175"/>
    </row>
    <row r="850">
      <c r="O850" s="175"/>
      <c r="U850" s="175"/>
    </row>
    <row r="851">
      <c r="O851" s="175"/>
      <c r="U851" s="175"/>
    </row>
    <row r="852">
      <c r="O852" s="175"/>
      <c r="U852" s="175"/>
    </row>
    <row r="853">
      <c r="O853" s="175"/>
      <c r="U853" s="175"/>
    </row>
    <row r="854">
      <c r="O854" s="175"/>
      <c r="U854" s="175"/>
    </row>
    <row r="855">
      <c r="O855" s="175"/>
      <c r="U855" s="175"/>
    </row>
    <row r="856">
      <c r="O856" s="175"/>
      <c r="U856" s="175"/>
    </row>
    <row r="857">
      <c r="O857" s="175"/>
      <c r="U857" s="175"/>
    </row>
    <row r="858">
      <c r="O858" s="175"/>
      <c r="U858" s="175"/>
    </row>
    <row r="859">
      <c r="O859" s="175"/>
      <c r="U859" s="175"/>
    </row>
    <row r="860">
      <c r="O860" s="175"/>
      <c r="U860" s="175"/>
    </row>
    <row r="861">
      <c r="O861" s="175"/>
      <c r="U861" s="175"/>
    </row>
    <row r="862">
      <c r="O862" s="175"/>
      <c r="U862" s="175"/>
    </row>
    <row r="863">
      <c r="O863" s="175"/>
      <c r="U863" s="175"/>
    </row>
    <row r="864">
      <c r="O864" s="175"/>
      <c r="U864" s="175"/>
    </row>
    <row r="865">
      <c r="O865" s="175"/>
      <c r="U865" s="175"/>
    </row>
    <row r="866">
      <c r="O866" s="175"/>
      <c r="U866" s="175"/>
    </row>
    <row r="867">
      <c r="O867" s="175"/>
      <c r="U867" s="175"/>
    </row>
    <row r="868">
      <c r="O868" s="175"/>
      <c r="U868" s="175"/>
    </row>
    <row r="869">
      <c r="O869" s="175"/>
      <c r="U869" s="175"/>
    </row>
    <row r="870">
      <c r="O870" s="175"/>
      <c r="U870" s="175"/>
    </row>
    <row r="871">
      <c r="O871" s="175"/>
      <c r="U871" s="175"/>
    </row>
    <row r="872">
      <c r="O872" s="175"/>
      <c r="U872" s="175"/>
    </row>
    <row r="873">
      <c r="O873" s="175"/>
      <c r="U873" s="175"/>
    </row>
    <row r="874">
      <c r="O874" s="175"/>
      <c r="U874" s="175"/>
    </row>
    <row r="875">
      <c r="O875" s="175"/>
      <c r="U875" s="175"/>
    </row>
    <row r="876">
      <c r="O876" s="175"/>
      <c r="U876" s="175"/>
    </row>
    <row r="877">
      <c r="O877" s="175"/>
      <c r="U877" s="175"/>
    </row>
    <row r="878">
      <c r="O878" s="175"/>
      <c r="U878" s="175"/>
    </row>
    <row r="879">
      <c r="O879" s="175"/>
      <c r="U879" s="175"/>
    </row>
    <row r="880">
      <c r="O880" s="175"/>
      <c r="U880" s="175"/>
    </row>
    <row r="881">
      <c r="O881" s="175"/>
      <c r="U881" s="175"/>
    </row>
    <row r="882">
      <c r="O882" s="175"/>
      <c r="U882" s="175"/>
    </row>
    <row r="883">
      <c r="O883" s="175"/>
      <c r="U883" s="175"/>
    </row>
    <row r="884">
      <c r="O884" s="175"/>
      <c r="U884" s="175"/>
    </row>
    <row r="885">
      <c r="O885" s="175"/>
      <c r="U885" s="175"/>
    </row>
    <row r="886">
      <c r="O886" s="175"/>
      <c r="U886" s="175"/>
    </row>
    <row r="887">
      <c r="O887" s="175"/>
      <c r="U887" s="175"/>
    </row>
    <row r="888">
      <c r="O888" s="175"/>
      <c r="U888" s="175"/>
    </row>
    <row r="889">
      <c r="O889" s="175"/>
      <c r="U889" s="175"/>
    </row>
    <row r="890">
      <c r="O890" s="175"/>
      <c r="U890" s="175"/>
    </row>
    <row r="891">
      <c r="O891" s="175"/>
      <c r="U891" s="175"/>
    </row>
    <row r="892">
      <c r="O892" s="175"/>
      <c r="U892" s="175"/>
    </row>
    <row r="893">
      <c r="O893" s="175"/>
      <c r="U893" s="175"/>
    </row>
    <row r="894">
      <c r="O894" s="175"/>
      <c r="U894" s="175"/>
    </row>
    <row r="895">
      <c r="O895" s="175"/>
      <c r="U895" s="175"/>
    </row>
    <row r="896">
      <c r="O896" s="175"/>
      <c r="U896" s="175"/>
    </row>
    <row r="897">
      <c r="O897" s="175"/>
      <c r="U897" s="175"/>
    </row>
    <row r="898">
      <c r="O898" s="175"/>
      <c r="U898" s="175"/>
    </row>
    <row r="899">
      <c r="O899" s="175"/>
      <c r="U899" s="175"/>
    </row>
    <row r="900">
      <c r="O900" s="175"/>
      <c r="U900" s="175"/>
    </row>
    <row r="901">
      <c r="O901" s="175"/>
      <c r="U901" s="175"/>
    </row>
    <row r="902">
      <c r="O902" s="175"/>
      <c r="U902" s="175"/>
    </row>
    <row r="903">
      <c r="O903" s="175"/>
      <c r="U903" s="175"/>
    </row>
    <row r="904">
      <c r="O904" s="175"/>
      <c r="U904" s="175"/>
    </row>
    <row r="905">
      <c r="O905" s="175"/>
      <c r="U905" s="175"/>
    </row>
    <row r="906">
      <c r="O906" s="175"/>
      <c r="U906" s="175"/>
    </row>
    <row r="907">
      <c r="O907" s="175"/>
      <c r="U907" s="175"/>
    </row>
    <row r="908">
      <c r="O908" s="175"/>
      <c r="U908" s="175"/>
    </row>
    <row r="909">
      <c r="O909" s="175"/>
      <c r="U909" s="175"/>
    </row>
    <row r="910">
      <c r="O910" s="175"/>
      <c r="U910" s="175"/>
    </row>
    <row r="911">
      <c r="O911" s="175"/>
      <c r="U911" s="175"/>
    </row>
    <row r="912">
      <c r="O912" s="175"/>
      <c r="U912" s="175"/>
    </row>
    <row r="913">
      <c r="O913" s="175"/>
      <c r="U913" s="175"/>
    </row>
    <row r="914">
      <c r="O914" s="175"/>
      <c r="U914" s="175"/>
    </row>
    <row r="915">
      <c r="O915" s="175"/>
      <c r="U915" s="175"/>
    </row>
    <row r="916">
      <c r="O916" s="175"/>
      <c r="U916" s="175"/>
    </row>
    <row r="917">
      <c r="O917" s="175"/>
      <c r="U917" s="175"/>
    </row>
    <row r="918">
      <c r="O918" s="175"/>
      <c r="U918" s="175"/>
    </row>
    <row r="919">
      <c r="O919" s="175"/>
      <c r="U919" s="175"/>
    </row>
    <row r="920">
      <c r="O920" s="175"/>
      <c r="U920" s="175"/>
    </row>
    <row r="921">
      <c r="O921" s="175"/>
      <c r="U921" s="175"/>
    </row>
    <row r="922">
      <c r="O922" s="175"/>
      <c r="U922" s="175"/>
    </row>
    <row r="923">
      <c r="O923" s="175"/>
      <c r="U923" s="175"/>
    </row>
    <row r="924">
      <c r="O924" s="175"/>
      <c r="U924" s="175"/>
    </row>
    <row r="925">
      <c r="O925" s="175"/>
      <c r="U925" s="175"/>
    </row>
    <row r="926">
      <c r="O926" s="175"/>
      <c r="U926" s="175"/>
    </row>
    <row r="927">
      <c r="O927" s="175"/>
      <c r="U927" s="175"/>
    </row>
    <row r="928">
      <c r="O928" s="175"/>
      <c r="U928" s="175"/>
    </row>
    <row r="929">
      <c r="O929" s="175"/>
      <c r="U929" s="175"/>
    </row>
    <row r="930">
      <c r="O930" s="175"/>
      <c r="U930" s="175"/>
    </row>
    <row r="931">
      <c r="O931" s="175"/>
      <c r="U931" s="175"/>
    </row>
    <row r="932">
      <c r="O932" s="175"/>
      <c r="U932" s="175"/>
    </row>
    <row r="933">
      <c r="O933" s="175"/>
      <c r="U933" s="175"/>
    </row>
    <row r="934">
      <c r="O934" s="175"/>
      <c r="U934" s="175"/>
    </row>
    <row r="935">
      <c r="O935" s="175"/>
      <c r="U935" s="175"/>
    </row>
    <row r="936">
      <c r="O936" s="175"/>
      <c r="U936" s="175"/>
    </row>
    <row r="937">
      <c r="O937" s="175"/>
      <c r="U937" s="175"/>
    </row>
    <row r="938">
      <c r="O938" s="175"/>
      <c r="U938" s="175"/>
    </row>
    <row r="939">
      <c r="O939" s="175"/>
      <c r="U939" s="175"/>
    </row>
    <row r="940">
      <c r="O940" s="175"/>
      <c r="U940" s="175"/>
    </row>
    <row r="941">
      <c r="O941" s="175"/>
      <c r="U941" s="175"/>
    </row>
    <row r="942">
      <c r="O942" s="175"/>
      <c r="U942" s="175"/>
    </row>
    <row r="943">
      <c r="O943" s="175"/>
      <c r="U943" s="175"/>
    </row>
    <row r="944">
      <c r="O944" s="175"/>
      <c r="U944" s="175"/>
    </row>
    <row r="945">
      <c r="O945" s="175"/>
      <c r="U945" s="175"/>
    </row>
    <row r="946">
      <c r="O946" s="175"/>
      <c r="U946" s="175"/>
    </row>
    <row r="947">
      <c r="O947" s="175"/>
      <c r="U947" s="175"/>
    </row>
    <row r="948">
      <c r="O948" s="175"/>
      <c r="U948" s="175"/>
    </row>
    <row r="949">
      <c r="O949" s="175"/>
      <c r="U949" s="175"/>
    </row>
    <row r="950">
      <c r="O950" s="175"/>
      <c r="U950" s="175"/>
    </row>
    <row r="951">
      <c r="O951" s="175"/>
      <c r="U951" s="175"/>
    </row>
    <row r="952">
      <c r="O952" s="175"/>
      <c r="U952" s="175"/>
    </row>
    <row r="953">
      <c r="O953" s="175"/>
      <c r="U953" s="175"/>
    </row>
    <row r="954">
      <c r="O954" s="175"/>
      <c r="U954" s="175"/>
    </row>
    <row r="955">
      <c r="O955" s="175"/>
      <c r="U955" s="175"/>
    </row>
    <row r="956">
      <c r="O956" s="175"/>
      <c r="U956" s="175"/>
    </row>
    <row r="957">
      <c r="O957" s="175"/>
      <c r="U957" s="175"/>
    </row>
    <row r="958">
      <c r="O958" s="175"/>
      <c r="U958" s="175"/>
    </row>
    <row r="959">
      <c r="O959" s="175"/>
      <c r="U959" s="175"/>
    </row>
    <row r="960">
      <c r="O960" s="175"/>
      <c r="U960" s="175"/>
    </row>
    <row r="961">
      <c r="O961" s="175"/>
      <c r="U961" s="175"/>
    </row>
    <row r="962">
      <c r="O962" s="175"/>
      <c r="U962" s="175"/>
    </row>
    <row r="963">
      <c r="O963" s="175"/>
      <c r="U963" s="175"/>
    </row>
    <row r="964">
      <c r="O964" s="175"/>
      <c r="U964" s="175"/>
    </row>
    <row r="965">
      <c r="O965" s="175"/>
      <c r="U965" s="175"/>
    </row>
    <row r="966">
      <c r="O966" s="175"/>
      <c r="U966" s="175"/>
    </row>
    <row r="967">
      <c r="O967" s="175"/>
      <c r="U967" s="175"/>
    </row>
    <row r="968">
      <c r="O968" s="175"/>
      <c r="U968" s="175"/>
    </row>
    <row r="969">
      <c r="O969" s="175"/>
      <c r="U969" s="175"/>
    </row>
    <row r="970">
      <c r="O970" s="175"/>
      <c r="U970" s="175"/>
    </row>
    <row r="971">
      <c r="O971" s="175"/>
      <c r="U971" s="175"/>
    </row>
    <row r="972">
      <c r="O972" s="175"/>
      <c r="U972" s="175"/>
    </row>
    <row r="973">
      <c r="O973" s="175"/>
      <c r="U973" s="175"/>
    </row>
    <row r="974">
      <c r="O974" s="175"/>
      <c r="U974" s="175"/>
    </row>
    <row r="975">
      <c r="O975" s="175"/>
      <c r="U975" s="175"/>
    </row>
    <row r="976">
      <c r="O976" s="175"/>
      <c r="U976" s="175"/>
    </row>
    <row r="977">
      <c r="O977" s="175"/>
      <c r="U977" s="175"/>
    </row>
    <row r="978">
      <c r="O978" s="175"/>
      <c r="U978" s="175"/>
    </row>
    <row r="979">
      <c r="O979" s="175"/>
      <c r="U979" s="175"/>
    </row>
    <row r="980">
      <c r="O980" s="175"/>
      <c r="U980" s="175"/>
    </row>
    <row r="981">
      <c r="O981" s="175"/>
      <c r="U981" s="175"/>
    </row>
    <row r="982">
      <c r="O982" s="175"/>
      <c r="U982" s="175"/>
    </row>
    <row r="983">
      <c r="O983" s="175"/>
      <c r="U983" s="175"/>
    </row>
    <row r="984">
      <c r="O984" s="175"/>
      <c r="U984" s="175"/>
    </row>
    <row r="985">
      <c r="O985" s="175"/>
      <c r="U985" s="175"/>
    </row>
    <row r="986">
      <c r="O986" s="175"/>
      <c r="U986" s="175"/>
    </row>
    <row r="987">
      <c r="O987" s="175"/>
      <c r="U987" s="175"/>
    </row>
    <row r="988">
      <c r="O988" s="175"/>
      <c r="U988" s="175"/>
    </row>
    <row r="989">
      <c r="O989" s="175"/>
      <c r="U989" s="175"/>
    </row>
    <row r="990">
      <c r="O990" s="175"/>
      <c r="U990" s="175"/>
    </row>
    <row r="991">
      <c r="O991" s="175"/>
      <c r="U991" s="175"/>
    </row>
    <row r="992">
      <c r="O992" s="175"/>
      <c r="U992" s="175"/>
    </row>
    <row r="993">
      <c r="O993" s="175"/>
      <c r="U993" s="175"/>
    </row>
    <row r="994">
      <c r="O994" s="175"/>
      <c r="U994" s="175"/>
    </row>
    <row r="995">
      <c r="O995" s="175"/>
      <c r="U995" s="175"/>
    </row>
    <row r="996">
      <c r="O996" s="175"/>
      <c r="U996" s="175"/>
    </row>
    <row r="997">
      <c r="O997" s="175"/>
      <c r="U997" s="175"/>
    </row>
    <row r="998">
      <c r="O998" s="175"/>
      <c r="U998" s="175"/>
    </row>
    <row r="999">
      <c r="O999" s="175"/>
      <c r="U999" s="175"/>
    </row>
    <row r="1000">
      <c r="O1000" s="175"/>
      <c r="U1000" s="175"/>
    </row>
    <row r="1001">
      <c r="O1001" s="175"/>
      <c r="U1001" s="175"/>
    </row>
    <row r="1002">
      <c r="O1002" s="175"/>
      <c r="U1002" s="175"/>
    </row>
    <row r="1003">
      <c r="O1003" s="175"/>
      <c r="U1003" s="175"/>
    </row>
    <row r="1004">
      <c r="O1004" s="175"/>
      <c r="U1004" s="175"/>
    </row>
    <row r="1005">
      <c r="O1005" s="175"/>
      <c r="U1005" s="175"/>
    </row>
    <row r="1006">
      <c r="O1006" s="175"/>
      <c r="U1006" s="175"/>
    </row>
    <row r="1007">
      <c r="O1007" s="175"/>
      <c r="U1007" s="175"/>
    </row>
    <row r="1008">
      <c r="O1008" s="175"/>
      <c r="U1008" s="175"/>
    </row>
    <row r="1009">
      <c r="O1009" s="175"/>
      <c r="U1009" s="175"/>
    </row>
    <row r="1010">
      <c r="O1010" s="175"/>
      <c r="U1010" s="175"/>
    </row>
    <row r="1011">
      <c r="O1011" s="175"/>
      <c r="U1011" s="175"/>
    </row>
    <row r="1012">
      <c r="O1012" s="175"/>
      <c r="U1012" s="175"/>
    </row>
    <row r="1013">
      <c r="O1013" s="175"/>
      <c r="U1013" s="175"/>
    </row>
    <row r="1014">
      <c r="O1014" s="175"/>
      <c r="U1014" s="175"/>
    </row>
    <row r="1015">
      <c r="O1015" s="175"/>
      <c r="U1015" s="175"/>
    </row>
    <row r="1016">
      <c r="O1016" s="175"/>
      <c r="U1016" s="175"/>
    </row>
    <row r="1017">
      <c r="O1017" s="175"/>
      <c r="U1017" s="175"/>
    </row>
    <row r="1018">
      <c r="O1018" s="175"/>
      <c r="U1018" s="175"/>
    </row>
    <row r="1019">
      <c r="O1019" s="175"/>
      <c r="U1019" s="175"/>
    </row>
    <row r="1020">
      <c r="O1020" s="175"/>
      <c r="U1020" s="175"/>
    </row>
    <row r="1021">
      <c r="O1021" s="175"/>
      <c r="U1021" s="175"/>
    </row>
    <row r="1022">
      <c r="O1022" s="175"/>
      <c r="U1022" s="175"/>
    </row>
    <row r="1023">
      <c r="O1023" s="175"/>
      <c r="U1023" s="175"/>
    </row>
    <row r="1024">
      <c r="O1024" s="175"/>
      <c r="U1024" s="175"/>
    </row>
    <row r="1025">
      <c r="O1025" s="175"/>
      <c r="U1025" s="175"/>
    </row>
    <row r="1026">
      <c r="O1026" s="175"/>
      <c r="U1026" s="175"/>
    </row>
    <row r="1027">
      <c r="O1027" s="175"/>
      <c r="U1027" s="175"/>
    </row>
    <row r="1028">
      <c r="O1028" s="175"/>
      <c r="U1028" s="175"/>
    </row>
    <row r="1029">
      <c r="O1029" s="175"/>
      <c r="U1029" s="175"/>
    </row>
    <row r="1030">
      <c r="O1030" s="175"/>
      <c r="U1030" s="175"/>
    </row>
    <row r="1031">
      <c r="O1031" s="175"/>
      <c r="U1031" s="175"/>
    </row>
    <row r="1032">
      <c r="O1032" s="175"/>
      <c r="U1032" s="175"/>
    </row>
    <row r="1033">
      <c r="O1033" s="175"/>
      <c r="U1033" s="175"/>
    </row>
    <row r="1034">
      <c r="O1034" s="175"/>
      <c r="U1034" s="175"/>
    </row>
    <row r="1035">
      <c r="O1035" s="175"/>
      <c r="U1035" s="175"/>
    </row>
    <row r="1036">
      <c r="O1036" s="175"/>
      <c r="U1036" s="175"/>
    </row>
    <row r="1037">
      <c r="O1037" s="175"/>
      <c r="U1037" s="175"/>
    </row>
    <row r="1038">
      <c r="O1038" s="175"/>
      <c r="U1038" s="175"/>
    </row>
    <row r="1039">
      <c r="O1039" s="175"/>
      <c r="U1039" s="175"/>
    </row>
    <row r="1040">
      <c r="O1040" s="175"/>
      <c r="U1040" s="175"/>
    </row>
    <row r="1041">
      <c r="O1041" s="175"/>
      <c r="U1041" s="175"/>
    </row>
    <row r="1042">
      <c r="O1042" s="175"/>
      <c r="U1042" s="175"/>
    </row>
  </sheetData>
  <mergeCells count="2">
    <mergeCell ref="E4:N5"/>
    <mergeCell ref="P4:T5"/>
  </mergeCells>
  <hyperlinks>
    <hyperlink r:id="rId1" ref="F2"/>
    <hyperlink r:id="rId2" ref="I2"/>
    <hyperlink r:id="rId3" ref="F9"/>
    <hyperlink r:id="rId4" ref="F26"/>
    <hyperlink r:id="rId5" ref="F45"/>
    <hyperlink r:id="rId6" ref="F61"/>
    <hyperlink r:id="rId7" ref="F77"/>
    <hyperlink r:id="rId8" ref="F93"/>
  </hyperlinks>
  <drawing r:id="rId9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/>
  </sheetViews>
  <sheetFormatPr customHeight="1" defaultColWidth="12.63" defaultRowHeight="15.75"/>
  <cols>
    <col customWidth="1" min="2" max="2" width="30.63"/>
    <col customWidth="1" min="6" max="6" width="21.75"/>
    <col customWidth="1" min="7" max="7" width="20.38"/>
    <col customWidth="1" min="8" max="8" width="18.0"/>
    <col customWidth="1" min="9" max="9" width="20.0"/>
  </cols>
  <sheetData>
    <row r="3">
      <c r="B3" s="92" t="s">
        <v>289</v>
      </c>
    </row>
    <row r="5">
      <c r="B5" s="5" t="s">
        <v>290</v>
      </c>
    </row>
    <row r="7">
      <c r="B7" s="5" t="s">
        <v>291</v>
      </c>
      <c r="C7" s="209">
        <v>0.3</v>
      </c>
      <c r="D7" s="210" t="s">
        <v>292</v>
      </c>
    </row>
    <row r="8">
      <c r="B8" s="5" t="s">
        <v>293</v>
      </c>
      <c r="C8" s="5">
        <v>0.65</v>
      </c>
    </row>
    <row r="9">
      <c r="B9" s="5" t="s">
        <v>294</v>
      </c>
      <c r="C9" s="5">
        <v>0.9</v>
      </c>
    </row>
    <row r="10">
      <c r="B10" s="5" t="s">
        <v>295</v>
      </c>
      <c r="C10" s="5">
        <v>6356.0</v>
      </c>
    </row>
    <row r="13">
      <c r="B13" s="211" t="s">
        <v>296</v>
      </c>
      <c r="C13" s="5">
        <v>20.0</v>
      </c>
      <c r="E13" s="212" t="s">
        <v>297</v>
      </c>
      <c r="F13" s="212" t="s">
        <v>298</v>
      </c>
      <c r="G13" s="212" t="s">
        <v>299</v>
      </c>
      <c r="H13" s="212" t="s">
        <v>300</v>
      </c>
      <c r="I13" s="212" t="s">
        <v>301</v>
      </c>
      <c r="J13" s="213"/>
    </row>
    <row r="14">
      <c r="B14" s="212" t="s">
        <v>300</v>
      </c>
      <c r="C14" s="42">
        <f>C13*$C$7/($C$10*$C$8*$C$9)</f>
        <v>0.001613658001</v>
      </c>
      <c r="D14" s="214"/>
      <c r="E14" s="5">
        <v>20.0</v>
      </c>
      <c r="F14" s="42">
        <f>C19</f>
        <v>0.001083409982</v>
      </c>
      <c r="G14" s="215"/>
      <c r="H14" s="42">
        <f t="shared" ref="H14:H28" si="1">F14/$C$9/0.746</f>
        <v>0.001613658001</v>
      </c>
      <c r="I14" s="216">
        <f>H14*3*'STEP 0'!$J$12</f>
        <v>0.002105823692</v>
      </c>
      <c r="J14" s="42"/>
      <c r="K14" s="42"/>
    </row>
    <row r="15">
      <c r="B15" s="212" t="s">
        <v>302</v>
      </c>
      <c r="C15" s="214">
        <f>C14*1000</f>
        <v>1.613658001</v>
      </c>
      <c r="D15" s="214"/>
      <c r="E15" s="217">
        <v>21.0</v>
      </c>
      <c r="F15" s="42">
        <f t="shared" ref="F15:F28" si="2">(E15/E14)^3*F14</f>
        <v>0.001254182481</v>
      </c>
      <c r="G15" s="215">
        <f t="shared" ref="G15:G28" si="3">(F15-F14)/F14</f>
        <v>0.157625</v>
      </c>
      <c r="H15" s="42">
        <f t="shared" si="1"/>
        <v>0.001868010844</v>
      </c>
      <c r="I15" s="216">
        <f>H15*3*'STEP 0'!$J$12</f>
        <v>0.002437754151</v>
      </c>
      <c r="J15" s="54"/>
      <c r="K15" s="54"/>
    </row>
    <row r="16">
      <c r="B16" s="212" t="s">
        <v>303</v>
      </c>
      <c r="C16" s="42">
        <f>C14*0.746</f>
        <v>0.001203788869</v>
      </c>
      <c r="D16" s="41"/>
      <c r="E16" s="217">
        <v>22.0</v>
      </c>
      <c r="F16" s="42">
        <f t="shared" si="2"/>
        <v>0.001442018686</v>
      </c>
      <c r="G16" s="215">
        <f t="shared" si="3"/>
        <v>0.1497678436</v>
      </c>
      <c r="H16" s="42">
        <f t="shared" si="1"/>
        <v>0.0021477788</v>
      </c>
      <c r="I16" s="216">
        <f>H16*3*'STEP 0'!$J$12</f>
        <v>0.002802851334</v>
      </c>
      <c r="J16" s="218"/>
      <c r="K16" s="218"/>
    </row>
    <row r="17">
      <c r="B17" s="212" t="s">
        <v>304</v>
      </c>
      <c r="C17" s="41">
        <f>C14*3</f>
        <v>0.004840974004</v>
      </c>
      <c r="D17" s="41"/>
      <c r="E17" s="217">
        <v>23.0</v>
      </c>
      <c r="F17" s="42">
        <f t="shared" si="2"/>
        <v>0.001647731157</v>
      </c>
      <c r="G17" s="215">
        <f t="shared" si="3"/>
        <v>0.1426558978</v>
      </c>
      <c r="H17" s="42">
        <f t="shared" si="1"/>
        <v>0.002454172113</v>
      </c>
      <c r="I17" s="216">
        <f>H17*3*'STEP 0'!$J$12</f>
        <v>0.003202694607</v>
      </c>
      <c r="J17" s="219"/>
      <c r="K17" s="219"/>
    </row>
    <row r="18">
      <c r="B18" s="212" t="s">
        <v>301</v>
      </c>
      <c r="C18" s="220">
        <f>C17*'STEP 0'!$J$12</f>
        <v>0.002105823692</v>
      </c>
      <c r="D18" s="41"/>
      <c r="E18" s="217">
        <v>24.0</v>
      </c>
      <c r="F18" s="42">
        <f t="shared" si="2"/>
        <v>0.001872132449</v>
      </c>
      <c r="G18" s="215">
        <f t="shared" si="3"/>
        <v>0.1361880496</v>
      </c>
      <c r="H18" s="42">
        <f t="shared" si="1"/>
        <v>0.002788401026</v>
      </c>
      <c r="I18" s="216">
        <f>H18*3*'STEP 0'!$J$12</f>
        <v>0.003638863339</v>
      </c>
    </row>
    <row r="19">
      <c r="B19" s="5" t="s">
        <v>305</v>
      </c>
      <c r="C19" s="42">
        <f>C16*C9</f>
        <v>0.001083409982</v>
      </c>
      <c r="D19" s="41"/>
      <c r="E19" s="217">
        <v>25.0</v>
      </c>
      <c r="F19" s="42">
        <f t="shared" si="2"/>
        <v>0.002116035121</v>
      </c>
      <c r="G19" s="215">
        <f t="shared" si="3"/>
        <v>0.1302806713</v>
      </c>
      <c r="H19" s="42">
        <f t="shared" si="1"/>
        <v>0.003151675784</v>
      </c>
      <c r="I19" s="216">
        <f>H19*3*'STEP 0'!$J$12</f>
        <v>0.004112936898</v>
      </c>
    </row>
    <row r="20">
      <c r="C20" s="42"/>
      <c r="D20" s="41"/>
      <c r="E20" s="217">
        <v>26.0</v>
      </c>
      <c r="F20" s="42">
        <f t="shared" si="2"/>
        <v>0.002380251731</v>
      </c>
      <c r="G20" s="215">
        <f t="shared" si="3"/>
        <v>0.124864</v>
      </c>
      <c r="H20" s="42">
        <f t="shared" si="1"/>
        <v>0.003545206629</v>
      </c>
      <c r="I20" s="216">
        <f>H20*3*'STEP 0'!$J$12</f>
        <v>0.004626494651</v>
      </c>
    </row>
    <row r="21">
      <c r="C21" s="42"/>
      <c r="D21" s="41"/>
      <c r="E21" s="217">
        <v>27.0</v>
      </c>
      <c r="F21" s="42">
        <f t="shared" si="2"/>
        <v>0.002665594835</v>
      </c>
      <c r="G21" s="215">
        <f t="shared" si="3"/>
        <v>0.119879381</v>
      </c>
      <c r="H21" s="42">
        <f t="shared" si="1"/>
        <v>0.003970203805</v>
      </c>
      <c r="I21" s="216">
        <f>H21*3*'STEP 0'!$J$12</f>
        <v>0.005181115966</v>
      </c>
    </row>
    <row r="22">
      <c r="E22" s="217">
        <v>28.0</v>
      </c>
      <c r="F22" s="42">
        <f t="shared" si="2"/>
        <v>0.002972876991</v>
      </c>
      <c r="G22" s="215">
        <f t="shared" si="3"/>
        <v>0.1152771427</v>
      </c>
      <c r="H22" s="42">
        <f t="shared" si="1"/>
        <v>0.004427877556</v>
      </c>
      <c r="I22" s="216">
        <f>H22*3*'STEP 0'!$J$12</f>
        <v>0.00577838021</v>
      </c>
    </row>
    <row r="23">
      <c r="E23" s="5">
        <v>29.0</v>
      </c>
      <c r="F23" s="42">
        <f t="shared" si="2"/>
        <v>0.003302910757</v>
      </c>
      <c r="G23" s="215">
        <f t="shared" si="3"/>
        <v>0.1110149417</v>
      </c>
      <c r="H23" s="42">
        <f t="shared" si="1"/>
        <v>0.004919438124</v>
      </c>
      <c r="I23" s="216">
        <f>H23*3*'STEP 0'!$J$12</f>
        <v>0.006419866752</v>
      </c>
    </row>
    <row r="24">
      <c r="B24" s="5" t="s">
        <v>306</v>
      </c>
      <c r="E24" s="5">
        <v>30.0</v>
      </c>
      <c r="F24" s="42">
        <f t="shared" si="2"/>
        <v>0.00365650869</v>
      </c>
      <c r="G24" s="215">
        <f t="shared" si="3"/>
        <v>0.1070564599</v>
      </c>
      <c r="H24" s="42">
        <f t="shared" si="1"/>
        <v>0.005446095754</v>
      </c>
      <c r="I24" s="216">
        <f>H24*3*'STEP 0'!$J$12</f>
        <v>0.00710715496</v>
      </c>
    </row>
    <row r="25">
      <c r="B25" s="5" t="s">
        <v>307</v>
      </c>
      <c r="C25" s="42">
        <f>C16</f>
        <v>0.001203788869</v>
      </c>
      <c r="E25" s="5">
        <v>31.0</v>
      </c>
      <c r="F25" s="42">
        <f t="shared" si="2"/>
        <v>0.004034483347</v>
      </c>
      <c r="G25" s="215">
        <f t="shared" si="3"/>
        <v>0.1033703704</v>
      </c>
      <c r="H25" s="42">
        <f t="shared" si="1"/>
        <v>0.00600906069</v>
      </c>
      <c r="I25" s="216">
        <f>H25*3*'STEP 0'!$J$12</f>
        <v>0.0078418242</v>
      </c>
    </row>
    <row r="26">
      <c r="B26" s="5" t="s">
        <v>308</v>
      </c>
      <c r="C26" s="31">
        <f>C13</f>
        <v>20</v>
      </c>
      <c r="E26" s="5">
        <v>32.0</v>
      </c>
      <c r="F26" s="42">
        <f t="shared" si="2"/>
        <v>0.004437647287</v>
      </c>
      <c r="G26" s="215">
        <f t="shared" si="3"/>
        <v>0.09992950891</v>
      </c>
      <c r="H26" s="42">
        <f t="shared" si="1"/>
        <v>0.006609543173</v>
      </c>
      <c r="I26" s="216">
        <f>H26*3*'STEP 0'!$J$12</f>
        <v>0.008625453841</v>
      </c>
      <c r="L26" s="176" t="s">
        <v>309</v>
      </c>
    </row>
    <row r="27">
      <c r="B27" s="5" t="s">
        <v>310</v>
      </c>
      <c r="C27" s="5">
        <v>21.0</v>
      </c>
      <c r="E27" s="5">
        <v>33.0</v>
      </c>
      <c r="F27" s="42">
        <f t="shared" si="2"/>
        <v>0.004866813066</v>
      </c>
      <c r="G27" s="215">
        <f t="shared" si="3"/>
        <v>0.09671020508</v>
      </c>
      <c r="H27" s="42">
        <f t="shared" si="1"/>
        <v>0.007248753449</v>
      </c>
      <c r="I27" s="216">
        <f>H27*3*'STEP 0'!$J$12</f>
        <v>0.009459623251</v>
      </c>
    </row>
    <row r="28">
      <c r="B28" s="5" t="s">
        <v>311</v>
      </c>
      <c r="C28" s="42">
        <f>C25*(C27/C26)^3</f>
        <v>0.001393536089</v>
      </c>
      <c r="E28" s="5">
        <v>34.0</v>
      </c>
      <c r="F28" s="42">
        <f t="shared" si="2"/>
        <v>0.005322793242</v>
      </c>
      <c r="G28" s="215">
        <f t="shared" si="3"/>
        <v>0.09369173832</v>
      </c>
      <c r="H28" s="42">
        <f t="shared" si="1"/>
        <v>0.007927901761</v>
      </c>
      <c r="I28" s="216">
        <f>H28*3*'STEP 0'!$J$12</f>
        <v>0.0103459118</v>
      </c>
    </row>
    <row r="29">
      <c r="C29" s="215"/>
    </row>
    <row r="50">
      <c r="G50" s="176" t="s">
        <v>312</v>
      </c>
      <c r="K50" s="5" t="s">
        <v>259</v>
      </c>
    </row>
    <row r="51">
      <c r="B51" s="5" t="s">
        <v>313</v>
      </c>
    </row>
    <row r="52">
      <c r="B52" s="5" t="s">
        <v>314</v>
      </c>
    </row>
    <row r="53">
      <c r="G53" s="5" t="s">
        <v>315</v>
      </c>
    </row>
    <row r="54">
      <c r="B54" s="5" t="s">
        <v>316</v>
      </c>
    </row>
    <row r="76">
      <c r="E76" s="5" t="s">
        <v>317</v>
      </c>
    </row>
    <row r="77">
      <c r="E77" s="5" t="s">
        <v>318</v>
      </c>
    </row>
    <row r="100">
      <c r="C100" s="5" t="s">
        <v>319</v>
      </c>
      <c r="E100" s="5" t="s">
        <v>320</v>
      </c>
    </row>
    <row r="104">
      <c r="A104" s="5" t="s">
        <v>321</v>
      </c>
    </row>
    <row r="105">
      <c r="A105" s="5" t="s">
        <v>322</v>
      </c>
    </row>
    <row r="106">
      <c r="A106" s="5" t="s">
        <v>323</v>
      </c>
    </row>
    <row r="107">
      <c r="A107" s="5" t="s">
        <v>324</v>
      </c>
    </row>
    <row r="108">
      <c r="A108" s="5" t="s">
        <v>325</v>
      </c>
    </row>
    <row r="109">
      <c r="A109" s="5" t="s">
        <v>326</v>
      </c>
    </row>
    <row r="110">
      <c r="A110" s="5" t="s">
        <v>327</v>
      </c>
    </row>
    <row r="111">
      <c r="A111" s="5" t="s">
        <v>328</v>
      </c>
    </row>
    <row r="112">
      <c r="A112" s="5" t="s">
        <v>329</v>
      </c>
    </row>
  </sheetData>
  <mergeCells count="1">
    <mergeCell ref="B3:O3"/>
  </mergeCells>
  <hyperlinks>
    <hyperlink r:id="rId1" ref="L26"/>
    <hyperlink r:id="rId2" ref="G50"/>
  </hyperlinks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3.38"/>
    <col customWidth="1" min="3" max="3" width="18.5"/>
  </cols>
  <sheetData>
    <row r="3">
      <c r="A3" s="5" t="s">
        <v>330</v>
      </c>
    </row>
    <row r="4">
      <c r="A4" s="5" t="s">
        <v>331</v>
      </c>
      <c r="B4" s="5">
        <v>3.0</v>
      </c>
      <c r="D4" s="31">
        <f>B4*B5/1000</f>
        <v>0.00066</v>
      </c>
    </row>
    <row r="5">
      <c r="A5" s="5" t="s">
        <v>332</v>
      </c>
      <c r="B5" s="5">
        <v>0.22</v>
      </c>
      <c r="D5" s="220">
        <f>D4*'STEP 0'!J12</f>
        <v>0.0002871</v>
      </c>
    </row>
    <row r="6">
      <c r="A6" s="5" t="s">
        <v>333</v>
      </c>
      <c r="D6" s="221">
        <f>B5*B4*365/1000</f>
        <v>0.2409</v>
      </c>
      <c r="E6" s="222" t="s">
        <v>334</v>
      </c>
    </row>
    <row r="7">
      <c r="D7" s="223">
        <f>D5*365</f>
        <v>0.1047915</v>
      </c>
      <c r="E7" s="222" t="s">
        <v>335</v>
      </c>
      <c r="F7" s="222"/>
      <c r="G7" s="222"/>
    </row>
    <row r="9">
      <c r="A9" s="5" t="s">
        <v>336</v>
      </c>
      <c r="B9" s="5">
        <v>0.406</v>
      </c>
    </row>
    <row r="10">
      <c r="A10" s="5" t="s">
        <v>337</v>
      </c>
      <c r="B10" s="31">
        <f>B9*365</f>
        <v>148.19</v>
      </c>
    </row>
    <row r="12">
      <c r="A12" s="5" t="s">
        <v>338</v>
      </c>
      <c r="B12" s="31">
        <f>B10+D6</f>
        <v>148.4309</v>
      </c>
    </row>
    <row r="16">
      <c r="A16" s="5" t="s">
        <v>339</v>
      </c>
      <c r="B16" s="27">
        <f>'STEP 0'!J13</f>
        <v>0.52</v>
      </c>
    </row>
    <row r="17">
      <c r="A17" s="5" t="s">
        <v>340</v>
      </c>
      <c r="B17" s="27">
        <f>'STEP 0'!J12</f>
        <v>0.435</v>
      </c>
    </row>
    <row r="18">
      <c r="A18" s="88" t="s">
        <v>341</v>
      </c>
      <c r="B18" s="89"/>
      <c r="C18" s="89"/>
      <c r="D18" s="5" t="s">
        <v>342</v>
      </c>
    </row>
    <row r="19">
      <c r="A19" s="88" t="s">
        <v>343</v>
      </c>
      <c r="B19" s="90">
        <f>'STEP 2'!J8</f>
        <v>1.633236718</v>
      </c>
      <c r="C19" s="88" t="s">
        <v>344</v>
      </c>
    </row>
    <row r="20">
      <c r="A20" s="88" t="s">
        <v>345</v>
      </c>
      <c r="B20" s="224">
        <f>B19*Latent_ice</f>
        <v>545.5010638</v>
      </c>
      <c r="C20" s="89"/>
    </row>
    <row r="21">
      <c r="A21" s="88" t="s">
        <v>346</v>
      </c>
      <c r="B21" s="87">
        <f>B20*kWh_per_kJ</f>
        <v>0.1515281945</v>
      </c>
      <c r="C21" s="89"/>
    </row>
    <row r="22">
      <c r="A22" s="88" t="s">
        <v>347</v>
      </c>
      <c r="B22" s="225">
        <f>B21*B17</f>
        <v>0.06591476461</v>
      </c>
      <c r="C22" s="89"/>
    </row>
    <row r="23">
      <c r="A23" s="88" t="s">
        <v>348</v>
      </c>
      <c r="B23" s="225">
        <f>B22*365</f>
        <v>24.05888908</v>
      </c>
      <c r="C23" s="89"/>
    </row>
    <row r="28">
      <c r="A28" s="5" t="s">
        <v>349</v>
      </c>
      <c r="B28" s="5">
        <v>320.0</v>
      </c>
    </row>
    <row r="29">
      <c r="A29" s="5" t="s">
        <v>350</v>
      </c>
      <c r="B29" s="5">
        <v>3.0</v>
      </c>
    </row>
    <row r="30">
      <c r="A30" s="5" t="s">
        <v>351</v>
      </c>
      <c r="B30" s="5">
        <v>24.0</v>
      </c>
    </row>
    <row r="31">
      <c r="A31" s="5" t="s">
        <v>352</v>
      </c>
      <c r="B31" s="31">
        <f>B29/B30</f>
        <v>0.125</v>
      </c>
    </row>
    <row r="32">
      <c r="A32" s="5" t="s">
        <v>353</v>
      </c>
      <c r="B32" s="31">
        <f>B31*B28</f>
        <v>40</v>
      </c>
    </row>
    <row r="33">
      <c r="A33" s="5" t="s">
        <v>354</v>
      </c>
      <c r="B33" s="27">
        <f>B32*B16</f>
        <v>20.8</v>
      </c>
    </row>
    <row r="36">
      <c r="A36" s="5" t="s">
        <v>355</v>
      </c>
    </row>
    <row r="37">
      <c r="A37" s="222" t="s">
        <v>356</v>
      </c>
      <c r="B37" s="226">
        <f>B33-D7</f>
        <v>20.6952085</v>
      </c>
    </row>
  </sheetData>
  <drawing r:id="rId1"/>
</worksheet>
</file>